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2024-25/"/>
    </mc:Choice>
  </mc:AlternateContent>
  <xr:revisionPtr revIDLastSave="36" documentId="8_{E4CD34DC-069C-4A3C-A5DF-29BCD4FEA448}" xr6:coauthVersionLast="47" xr6:coauthVersionMax="47" xr10:uidLastSave="{7D9DE869-9423-4F95-A91B-630564C1E800}"/>
  <bookViews>
    <workbookView xWindow="-120" yWindow="-120" windowWidth="19440" windowHeight="14880" tabRatio="812" firstSheet="2" activeTab="2" xr2:uid="{00000000-000D-0000-FFFF-FFFF00000000}"/>
  </bookViews>
  <sheets>
    <sheet name="2024-25 Running" sheetId="17" state="hidden" r:id="rId1"/>
    <sheet name="Ear Marked Funds" sheetId="19" state="hidden" r:id="rId2"/>
    <sheet name="Bank Account" sheetId="2" r:id="rId3"/>
    <sheet name="Reserves" sheetId="1" r:id="rId4"/>
    <sheet name="Bank Recon" sheetId="13" state="hidden" r:id="rId5"/>
    <sheet name="Year to Date" sheetId="10" state="hidden" r:id="rId6"/>
    <sheet name="Variances" sheetId="21" state="hidden" r:id="rId7"/>
    <sheet name="Annual Return" sheetId="16" state="hidden" r:id="rId8"/>
    <sheet name="Budget 2025-26" sheetId="20" state="hidden" r:id="rId9"/>
  </sheets>
  <definedNames>
    <definedName name="_xlnm._FilterDatabase" localSheetId="2" hidden="1">'Bank Account'!$A$5:$J$95</definedName>
    <definedName name="_xlnm._FilterDatabase" localSheetId="3" hidden="1">Reserves!$A$5:$J$7</definedName>
    <definedName name="_xlnm.Print_Area" localSheetId="2">'Bank Account'!$A$1:$J$99</definedName>
    <definedName name="_xlnm.Print_Area" localSheetId="4">'Bank Recon'!$A$1:$D$34</definedName>
    <definedName name="_xlnm.Print_Area" localSheetId="3">Reserves!$B$1:$J$7</definedName>
    <definedName name="_xlnm.Print_Area" localSheetId="6">Variances!#REF!</definedName>
    <definedName name="_xlnm.Print_Area" localSheetId="5">'Year to Date'!#REF!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6" l="1"/>
  <c r="C11" i="16"/>
  <c r="D5" i="16"/>
  <c r="J94" i="2"/>
  <c r="J92" i="2"/>
  <c r="C19" i="19"/>
  <c r="B19" i="19"/>
  <c r="J87" i="2"/>
  <c r="J88" i="2"/>
  <c r="J89" i="2"/>
  <c r="J90" i="2"/>
  <c r="J91" i="2"/>
  <c r="M12" i="20"/>
  <c r="M11" i="20"/>
  <c r="M4" i="20"/>
  <c r="M5" i="20"/>
  <c r="M6" i="20"/>
  <c r="M7" i="20"/>
  <c r="M8" i="20"/>
  <c r="M9" i="20"/>
  <c r="M10" i="20"/>
  <c r="M3" i="20"/>
  <c r="L11" i="20"/>
  <c r="L12" i="20"/>
  <c r="L10" i="20"/>
  <c r="L9" i="20"/>
  <c r="L6" i="20"/>
  <c r="L7" i="20"/>
  <c r="L8" i="20"/>
  <c r="L4" i="20"/>
  <c r="L5" i="20"/>
  <c r="L3" i="20"/>
  <c r="P2" i="20"/>
  <c r="O2" i="20"/>
  <c r="G2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G22" i="20" s="1"/>
  <c r="C3" i="20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4" i="20"/>
  <c r="B3" i="20"/>
  <c r="B28" i="20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Q12" i="20"/>
  <c r="G16" i="20"/>
  <c r="E2" i="20"/>
  <c r="F2" i="20"/>
  <c r="M2" i="20" l="1"/>
  <c r="Q2" i="20" s="1"/>
  <c r="L2" i="20"/>
  <c r="B2" i="20"/>
  <c r="J52" i="2"/>
  <c r="J53" i="2"/>
  <c r="J54" i="2"/>
  <c r="J46" i="2"/>
  <c r="J47" i="2"/>
  <c r="J48" i="2"/>
  <c r="J49" i="2"/>
  <c r="J50" i="2"/>
  <c r="J51" i="2"/>
  <c r="J55" i="2"/>
  <c r="N9" i="20"/>
  <c r="D6" i="16"/>
  <c r="I57" i="17"/>
  <c r="A57" i="17"/>
  <c r="I47" i="17"/>
  <c r="I46" i="17"/>
  <c r="I45" i="17"/>
  <c r="E41" i="17"/>
  <c r="J40" i="17"/>
  <c r="E39" i="17"/>
  <c r="E42" i="17" s="1"/>
  <c r="A39" i="17"/>
  <c r="A42" i="17" s="1"/>
  <c r="E16" i="17"/>
  <c r="A16" i="17"/>
  <c r="A41" i="17" s="1"/>
  <c r="A43" i="17" s="1"/>
  <c r="I4" i="17"/>
  <c r="C17" i="19"/>
  <c r="C16" i="19"/>
  <c r="C15" i="19"/>
  <c r="B13" i="19"/>
  <c r="C12" i="19"/>
  <c r="C11" i="19"/>
  <c r="B9" i="19"/>
  <c r="C8" i="19"/>
  <c r="C7" i="19"/>
  <c r="B2" i="19"/>
  <c r="B1" i="19"/>
  <c r="J8" i="2"/>
  <c r="J9" i="2"/>
  <c r="J10" i="2"/>
  <c r="J11" i="2"/>
  <c r="J6" i="1"/>
  <c r="I37" i="17"/>
  <c r="J37" i="17" s="1"/>
  <c r="I38" i="17"/>
  <c r="J38" i="17" s="1"/>
  <c r="D51" i="10"/>
  <c r="B49" i="10"/>
  <c r="B4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D38" i="10" s="1"/>
  <c r="D44" i="10" s="1"/>
  <c r="D45" i="10" s="1"/>
  <c r="C18" i="10"/>
  <c r="C38" i="10" s="1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C15" i="10" s="1"/>
  <c r="B7" i="10"/>
  <c r="B15" i="10" s="1"/>
  <c r="B43" i="10" s="1"/>
  <c r="D6" i="10"/>
  <c r="D15" i="10" s="1"/>
  <c r="D43" i="10" s="1"/>
  <c r="C6" i="10"/>
  <c r="B6" i="10"/>
  <c r="K29" i="21"/>
  <c r="J29" i="21"/>
  <c r="I29" i="21"/>
  <c r="H29" i="21"/>
  <c r="L29" i="21" s="1"/>
  <c r="M29" i="21" s="1"/>
  <c r="G29" i="21"/>
  <c r="K27" i="21"/>
  <c r="J27" i="21"/>
  <c r="I27" i="21"/>
  <c r="H27" i="21"/>
  <c r="L27" i="21" s="1"/>
  <c r="M27" i="21" s="1"/>
  <c r="G27" i="21"/>
  <c r="D23" i="21"/>
  <c r="K19" i="21"/>
  <c r="J19" i="21"/>
  <c r="I19" i="21"/>
  <c r="H19" i="21"/>
  <c r="L19" i="21" s="1"/>
  <c r="M19" i="21" s="1"/>
  <c r="G19" i="21"/>
  <c r="M11" i="21"/>
  <c r="C6" i="16"/>
  <c r="H39" i="20"/>
  <c r="G39" i="20"/>
  <c r="I38" i="20"/>
  <c r="J38" i="20" s="1"/>
  <c r="K38" i="20" s="1"/>
  <c r="L38" i="20" s="1"/>
  <c r="H32" i="20"/>
  <c r="H33" i="20" s="1"/>
  <c r="I30" i="20"/>
  <c r="G30" i="20"/>
  <c r="G32" i="20" s="1"/>
  <c r="G33" i="20" s="1"/>
  <c r="F30" i="20"/>
  <c r="F39" i="20" s="1"/>
  <c r="B26" i="20"/>
  <c r="G21" i="20"/>
  <c r="G20" i="20"/>
  <c r="G19" i="20"/>
  <c r="G18" i="20"/>
  <c r="G17" i="20"/>
  <c r="G15" i="20"/>
  <c r="G14" i="20"/>
  <c r="G13" i="20"/>
  <c r="G12" i="20"/>
  <c r="Q11" i="20"/>
  <c r="G11" i="20"/>
  <c r="Q10" i="20"/>
  <c r="G10" i="20"/>
  <c r="Q9" i="20"/>
  <c r="G9" i="20"/>
  <c r="Q8" i="20"/>
  <c r="G8" i="20"/>
  <c r="Q7" i="20"/>
  <c r="G7" i="20"/>
  <c r="Q6" i="20"/>
  <c r="G6" i="20"/>
  <c r="Q5" i="20"/>
  <c r="G5" i="20"/>
  <c r="Q4" i="20"/>
  <c r="G4" i="20"/>
  <c r="Q3" i="20"/>
  <c r="F27" i="20"/>
  <c r="G3" i="20"/>
  <c r="H27" i="20"/>
  <c r="G27" i="20"/>
  <c r="H26" i="20"/>
  <c r="C2" i="20"/>
  <c r="F26" i="20"/>
  <c r="J7" i="2"/>
  <c r="J12" i="2"/>
  <c r="J13" i="2"/>
  <c r="J14" i="2"/>
  <c r="J15" i="2"/>
  <c r="J16" i="2"/>
  <c r="J17" i="2"/>
  <c r="J18" i="2"/>
  <c r="J19" i="2"/>
  <c r="J20" i="2"/>
  <c r="J21" i="2"/>
  <c r="J25" i="2"/>
  <c r="J26" i="2"/>
  <c r="J28" i="2"/>
  <c r="J29" i="2"/>
  <c r="J30" i="2"/>
  <c r="J31" i="2"/>
  <c r="J33" i="2"/>
  <c r="J34" i="2"/>
  <c r="J35" i="2"/>
  <c r="J36" i="2"/>
  <c r="J38" i="2"/>
  <c r="J39" i="2"/>
  <c r="J40" i="2"/>
  <c r="J41" i="2"/>
  <c r="J42" i="2"/>
  <c r="J43" i="2"/>
  <c r="J44" i="2"/>
  <c r="J45" i="2"/>
  <c r="C13" i="19" l="1"/>
  <c r="C9" i="19"/>
  <c r="C20" i="19" s="1"/>
  <c r="B20" i="19"/>
  <c r="I7" i="17"/>
  <c r="J7" i="17" s="1"/>
  <c r="N4" i="20"/>
  <c r="I50" i="17"/>
  <c r="F13" i="21"/>
  <c r="I13" i="21" s="1"/>
  <c r="N3" i="20"/>
  <c r="I8" i="17"/>
  <c r="J8" i="17" s="1"/>
  <c r="N5" i="20"/>
  <c r="I15" i="17"/>
  <c r="J15" i="17" s="1"/>
  <c r="N11" i="20"/>
  <c r="I11" i="17"/>
  <c r="J11" i="17" s="1"/>
  <c r="N8" i="20"/>
  <c r="I14" i="17"/>
  <c r="J14" i="17" s="1"/>
  <c r="N12" i="20"/>
  <c r="I10" i="17"/>
  <c r="J10" i="17" s="1"/>
  <c r="N7" i="20"/>
  <c r="I13" i="17"/>
  <c r="J13" i="17" s="1"/>
  <c r="N10" i="20"/>
  <c r="I9" i="17"/>
  <c r="J9" i="17" s="1"/>
  <c r="N6" i="20"/>
  <c r="H40" i="20"/>
  <c r="H41" i="20"/>
  <c r="H42" i="20" s="1"/>
  <c r="I6" i="17"/>
  <c r="J6" i="17" s="1"/>
  <c r="E43" i="17"/>
  <c r="I32" i="20"/>
  <c r="I33" i="20" s="1"/>
  <c r="J30" i="20"/>
  <c r="I39" i="20"/>
  <c r="G40" i="20"/>
  <c r="G95" i="2"/>
  <c r="F95" i="2"/>
  <c r="D7" i="16" l="1"/>
  <c r="N2" i="20"/>
  <c r="G13" i="21"/>
  <c r="H13" i="21"/>
  <c r="K13" i="21" s="1"/>
  <c r="J13" i="21"/>
  <c r="I40" i="20"/>
  <c r="I41" i="20"/>
  <c r="I42" i="20" s="1"/>
  <c r="J39" i="20"/>
  <c r="K30" i="20"/>
  <c r="J32" i="20"/>
  <c r="J33" i="20" s="1"/>
  <c r="D28" i="13"/>
  <c r="G14" i="1"/>
  <c r="D29" i="13" s="1"/>
  <c r="D25" i="13"/>
  <c r="H4" i="1"/>
  <c r="H4" i="2"/>
  <c r="H6" i="2" s="1"/>
  <c r="L13" i="21" l="1"/>
  <c r="M13" i="21" s="1"/>
  <c r="J40" i="20"/>
  <c r="J41" i="20"/>
  <c r="J42" i="20" s="1"/>
  <c r="K32" i="20"/>
  <c r="K33" i="20" s="1"/>
  <c r="K39" i="20"/>
  <c r="L30" i="20"/>
  <c r="H6" i="1"/>
  <c r="H7" i="1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K40" i="20" l="1"/>
  <c r="K41" i="20"/>
  <c r="K42" i="20" s="1"/>
  <c r="H8" i="1"/>
  <c r="H9" i="1" s="1"/>
  <c r="L39" i="20"/>
  <c r="L32" i="20"/>
  <c r="L33" i="20" s="1"/>
  <c r="F14" i="1"/>
  <c r="J14" i="1"/>
  <c r="H10" i="1" l="1"/>
  <c r="H11" i="1" s="1"/>
  <c r="H12" i="1" s="1"/>
  <c r="H13" i="1" s="1"/>
  <c r="H14" i="1" s="1"/>
  <c r="L40" i="20"/>
  <c r="L41" i="20"/>
  <c r="L42" i="20" s="1"/>
  <c r="F15" i="21"/>
  <c r="I12" i="17"/>
  <c r="D27" i="13"/>
  <c r="I15" i="21" l="1"/>
  <c r="G15" i="21"/>
  <c r="J15" i="21"/>
  <c r="H15" i="21"/>
  <c r="J12" i="17"/>
  <c r="I16" i="17"/>
  <c r="I41" i="17" s="1"/>
  <c r="A46" i="17"/>
  <c r="A50" i="17" s="1"/>
  <c r="B40" i="10"/>
  <c r="K15" i="21" l="1"/>
  <c r="L15" i="21"/>
  <c r="M15" i="21" s="1"/>
  <c r="XDL95" i="2"/>
  <c r="D26" i="13"/>
  <c r="D31" i="13" s="1"/>
  <c r="B31" i="13" l="1"/>
  <c r="B18" i="13"/>
  <c r="D3" i="20" l="1"/>
  <c r="D12" i="13"/>
  <c r="D21" i="20"/>
  <c r="I22" i="17"/>
  <c r="J22" i="17" s="1"/>
  <c r="I95" i="2"/>
  <c r="J6" i="2"/>
  <c r="D16" i="13"/>
  <c r="D10" i="16" l="1"/>
  <c r="F21" i="21"/>
  <c r="G21" i="21" s="1"/>
  <c r="D7" i="20"/>
  <c r="I23" i="17"/>
  <c r="J23" i="17" s="1"/>
  <c r="D15" i="20"/>
  <c r="I31" i="17"/>
  <c r="J31" i="17" s="1"/>
  <c r="D8" i="20"/>
  <c r="I24" i="17"/>
  <c r="J24" i="17" s="1"/>
  <c r="D12" i="20"/>
  <c r="I28" i="17"/>
  <c r="J28" i="17" s="1"/>
  <c r="D16" i="20"/>
  <c r="I32" i="17"/>
  <c r="J32" i="17" s="1"/>
  <c r="D20" i="20"/>
  <c r="I36" i="17"/>
  <c r="J36" i="17" s="1"/>
  <c r="D11" i="20"/>
  <c r="I27" i="17"/>
  <c r="J27" i="17" s="1"/>
  <c r="D19" i="20"/>
  <c r="I35" i="17"/>
  <c r="J35" i="17" s="1"/>
  <c r="D5" i="20"/>
  <c r="I21" i="17"/>
  <c r="J21" i="17" s="1"/>
  <c r="D9" i="20"/>
  <c r="I25" i="17"/>
  <c r="J25" i="17" s="1"/>
  <c r="D13" i="20"/>
  <c r="I29" i="17"/>
  <c r="J29" i="17" s="1"/>
  <c r="D17" i="20"/>
  <c r="I33" i="17"/>
  <c r="J33" i="17" s="1"/>
  <c r="I19" i="17"/>
  <c r="D10" i="20"/>
  <c r="I26" i="17"/>
  <c r="J26" i="17" s="1"/>
  <c r="D14" i="20"/>
  <c r="I30" i="17"/>
  <c r="J30" i="17" s="1"/>
  <c r="D18" i="20"/>
  <c r="I34" i="17"/>
  <c r="J34" i="17" s="1"/>
  <c r="D4" i="20"/>
  <c r="I20" i="17"/>
  <c r="J20" i="17" s="1"/>
  <c r="D6" i="20"/>
  <c r="J95" i="2"/>
  <c r="D18" i="13"/>
  <c r="B50" i="10" s="1"/>
  <c r="B51" i="10" s="1"/>
  <c r="F17" i="21" l="1"/>
  <c r="D8" i="16"/>
  <c r="D11" i="16" s="1"/>
  <c r="J19" i="17"/>
  <c r="I39" i="17"/>
  <c r="D34" i="13"/>
  <c r="J39" i="17" l="1"/>
  <c r="I42" i="17"/>
  <c r="I43" i="17" s="1"/>
  <c r="H95" i="2"/>
  <c r="B37" i="10" l="1"/>
  <c r="B18" i="10" l="1"/>
  <c r="B25" i="10"/>
  <c r="B35" i="10" l="1"/>
  <c r="B23" i="10"/>
  <c r="B21" i="10"/>
  <c r="B31" i="10"/>
  <c r="B27" i="10"/>
  <c r="B19" i="10"/>
  <c r="B34" i="10"/>
  <c r="B30" i="10"/>
  <c r="B26" i="10"/>
  <c r="B33" i="10"/>
  <c r="B29" i="10"/>
  <c r="B36" i="10"/>
  <c r="B32" i="10"/>
  <c r="B28" i="10"/>
  <c r="B24" i="10"/>
  <c r="B20" i="10"/>
  <c r="B22" i="10" l="1"/>
  <c r="B38" i="10" s="1"/>
  <c r="B44" i="10" s="1"/>
  <c r="B45" i="10" s="1"/>
  <c r="B53" i="10" s="1"/>
  <c r="I17" i="21" l="1"/>
  <c r="J17" i="21"/>
  <c r="G17" i="21"/>
  <c r="F23" i="21"/>
  <c r="H17" i="21"/>
  <c r="D2" i="20"/>
  <c r="G26" i="20" s="1"/>
  <c r="J21" i="21" l="1"/>
  <c r="I21" i="21"/>
  <c r="H21" i="21"/>
  <c r="K17" i="21"/>
  <c r="L17" i="21"/>
  <c r="M17" i="21" s="1"/>
  <c r="L21" i="21" l="1"/>
  <c r="M21" i="21" s="1"/>
  <c r="K21" i="21"/>
  <c r="D12" i="16" l="1"/>
  <c r="F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tc={D7264BB8-086F-47E2-A539-D714FBD2BD58}</author>
  </authors>
  <commentList>
    <comment ref="G83" authorId="0" shapeId="0" xr:uid="{D7264BB8-086F-47E2-A539-D714FBD2BD58}">
      <text>
        <t>[Threaded comment]
Your version of Excel allows you to read this threaded comment; however, any edits to it will get removed if the file is opened in a newer version of Excel. Learn more: https://go.microsoft.com/fwlink/?linkid=870924
Comment:
    Lost receipt. Spoke with Post Office and unable to trace payment for duplicate receipt</t>
      </text>
    </comment>
  </commentList>
</comments>
</file>

<file path=xl/sharedStrings.xml><?xml version="1.0" encoding="utf-8"?>
<sst xmlns="http://schemas.openxmlformats.org/spreadsheetml/2006/main" count="722" uniqueCount="468">
  <si>
    <t>Date</t>
  </si>
  <si>
    <t>Invoice No.</t>
  </si>
  <si>
    <t>Gross</t>
  </si>
  <si>
    <t>VAT</t>
  </si>
  <si>
    <t>Net</t>
  </si>
  <si>
    <t>Precept</t>
  </si>
  <si>
    <t>Interest</t>
  </si>
  <si>
    <t>Invoice</t>
  </si>
  <si>
    <t>PAYMENTS</t>
  </si>
  <si>
    <t>Supplier</t>
  </si>
  <si>
    <t>Description</t>
  </si>
  <si>
    <t>Clerk Salary</t>
  </si>
  <si>
    <t>Subscriptions</t>
  </si>
  <si>
    <t>Insurance</t>
  </si>
  <si>
    <t>Bank Reconciliation</t>
  </si>
  <si>
    <t>Less: Unpresented</t>
  </si>
  <si>
    <t>Payments</t>
  </si>
  <si>
    <t>Cashbook</t>
  </si>
  <si>
    <t>Budget</t>
  </si>
  <si>
    <t>Income</t>
  </si>
  <si>
    <t>Total</t>
  </si>
  <si>
    <t xml:space="preserve">Expenditure </t>
  </si>
  <si>
    <t>Expenditure</t>
  </si>
  <si>
    <t>Balance c/f</t>
  </si>
  <si>
    <t>Represented by</t>
  </si>
  <si>
    <t>Current Account</t>
  </si>
  <si>
    <t>Unpresented Cheques</t>
  </si>
  <si>
    <t>Difference</t>
  </si>
  <si>
    <t>Year Ending</t>
  </si>
  <si>
    <t>£</t>
  </si>
  <si>
    <t>Balances Bfwd</t>
  </si>
  <si>
    <t>+ Annual Precept</t>
  </si>
  <si>
    <t>+ Total Other Receipts</t>
  </si>
  <si>
    <t>- Staff Costs</t>
  </si>
  <si>
    <t>- Loan Interest/Capital Repayments</t>
  </si>
  <si>
    <t>- All Other Payments</t>
  </si>
  <si>
    <t>= Balances Carried forward</t>
  </si>
  <si>
    <t>Total Cash &amp; Short Term Investments</t>
  </si>
  <si>
    <t>Total Fixed Assets plus other long term investments and assets</t>
  </si>
  <si>
    <t>Total Borrowings</t>
  </si>
  <si>
    <t>Litter Pick</t>
  </si>
  <si>
    <t>Barclays Current Account</t>
  </si>
  <si>
    <t>Prepared by: Charlotte Rust, Responsible Financial Officer</t>
  </si>
  <si>
    <t>Dog Bins</t>
  </si>
  <si>
    <t>RECEIPTS/ SPEND TO</t>
  </si>
  <si>
    <t>INCOME AND EXPENDITURE</t>
  </si>
  <si>
    <t>BUDGET YEAR END</t>
  </si>
  <si>
    <t xml:space="preserve">    £</t>
  </si>
  <si>
    <t>INCOME</t>
  </si>
  <si>
    <t>EXPLANATORY NOTES</t>
  </si>
  <si>
    <t>TOTAL INCOME</t>
  </si>
  <si>
    <t>EXPENDITURE</t>
  </si>
  <si>
    <t>Internal Audit</t>
  </si>
  <si>
    <t>Section 137</t>
  </si>
  <si>
    <t>TOTAL EXPENDITURE</t>
  </si>
  <si>
    <t>Total Income</t>
  </si>
  <si>
    <t>TOTAL INCOME SO FAR→</t>
  </si>
  <si>
    <t>Total Expenditure</t>
  </si>
  <si>
    <r>
      <t>BUDGET SPENT SO FAR</t>
    </r>
    <r>
      <rPr>
        <sz val="12"/>
        <color indexed="8"/>
        <rFont val="Calibri"/>
        <family val="2"/>
      </rPr>
      <t>→</t>
    </r>
  </si>
  <si>
    <r>
      <t>IN-YEAR SURPLUS/</t>
    </r>
    <r>
      <rPr>
        <b/>
        <sz val="12"/>
        <color indexed="10"/>
        <rFont val="Calibri"/>
        <family val="2"/>
      </rPr>
      <t>DEFICIT</t>
    </r>
  </si>
  <si>
    <r>
      <t>BUDGET REMAINING</t>
    </r>
    <r>
      <rPr>
        <sz val="12"/>
        <color indexed="8"/>
        <rFont val="Calibri"/>
        <family val="2"/>
      </rPr>
      <t>→</t>
    </r>
  </si>
  <si>
    <t>BANK BALANCE AT</t>
  </si>
  <si>
    <t>Uncleared cheque payments</t>
  </si>
  <si>
    <t>Less unpresented cheques</t>
  </si>
  <si>
    <t>Uncleared cheque receipts</t>
  </si>
  <si>
    <t>Plus undeposited receipts</t>
  </si>
  <si>
    <t>End of Year Reserve</t>
  </si>
  <si>
    <t>Balance</t>
  </si>
  <si>
    <t>GRANTS AND DONATIONS MADE</t>
  </si>
  <si>
    <t>2023-24</t>
  </si>
  <si>
    <t>TOTAL GRANTS</t>
  </si>
  <si>
    <t>King's Coronation Grant</t>
  </si>
  <si>
    <t>VAT Claim</t>
  </si>
  <si>
    <t>2023/24</t>
  </si>
  <si>
    <t>Hall Hire</t>
  </si>
  <si>
    <t>April Precept</t>
  </si>
  <si>
    <t>HMRC</t>
  </si>
  <si>
    <t>R1</t>
  </si>
  <si>
    <t>R2</t>
  </si>
  <si>
    <t>R3</t>
  </si>
  <si>
    <t>R4</t>
  </si>
  <si>
    <t>R5</t>
  </si>
  <si>
    <t>R6</t>
  </si>
  <si>
    <t>P1</t>
  </si>
  <si>
    <t>P2</t>
  </si>
  <si>
    <t>P3</t>
  </si>
  <si>
    <t>P4</t>
  </si>
  <si>
    <t>P5</t>
  </si>
  <si>
    <t>P6</t>
  </si>
  <si>
    <t>P7</t>
  </si>
  <si>
    <t>P8</t>
  </si>
  <si>
    <t>R7</t>
  </si>
  <si>
    <t>R8</t>
  </si>
  <si>
    <t>R9</t>
  </si>
  <si>
    <t>R10</t>
  </si>
  <si>
    <t>R11</t>
  </si>
  <si>
    <t>R12</t>
  </si>
  <si>
    <t>R13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</si>
  <si>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</si>
  <si>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</si>
  <si>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</si>
  <si>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</si>
  <si>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</si>
  <si>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</si>
  <si>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</si>
  <si>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</si>
  <si>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</si>
  <si>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</si>
  <si>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</si>
  <si>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</si>
  <si>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</si>
  <si>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</si>
  <si>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</si>
  <si>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</si>
  <si>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R14</t>
  </si>
  <si>
    <t>Barclays</t>
  </si>
  <si>
    <t>Misc</t>
  </si>
  <si>
    <t>Bank Balance</t>
  </si>
  <si>
    <t>Cash Flow</t>
  </si>
  <si>
    <t>SUB-TOTAL</t>
  </si>
  <si>
    <t>PC Assets</t>
  </si>
  <si>
    <t>Unexpected costs</t>
  </si>
  <si>
    <t>TOTAL</t>
  </si>
  <si>
    <t>Working Balance</t>
  </si>
  <si>
    <t>Contingency</t>
  </si>
  <si>
    <t>Ear Marked</t>
  </si>
  <si>
    <t>Remaining balance</t>
  </si>
  <si>
    <t>Use of funds</t>
  </si>
  <si>
    <t xml:space="preserve">Amount </t>
  </si>
  <si>
    <t>Payment ref</t>
  </si>
  <si>
    <t>+/- 
Budget compared to Previous Year</t>
  </si>
  <si>
    <t>Take From Reserves</t>
  </si>
  <si>
    <t>Notes</t>
  </si>
  <si>
    <t>TOTAL PAYMENTS</t>
  </si>
  <si>
    <t>TOTAL RECEIPTS</t>
  </si>
  <si>
    <t>Actual TOTAL</t>
  </si>
  <si>
    <t>PRECEPT REQUIRED</t>
  </si>
  <si>
    <t>NOTES:</t>
  </si>
  <si>
    <t>RESERVES</t>
  </si>
  <si>
    <t>Total Payments</t>
  </si>
  <si>
    <t>Ear Marked Reserves</t>
  </si>
  <si>
    <t>Total Receipts (excluding Precept)</t>
  </si>
  <si>
    <t>Taken from Reserves</t>
  </si>
  <si>
    <t>TOTAL PRECEPT REQUIRED</t>
  </si>
  <si>
    <t>£ Increase/Decrease</t>
  </si>
  <si>
    <t>General Reserve</t>
  </si>
  <si>
    <t>% Increase/Decrease</t>
  </si>
  <si>
    <t>BAND D CHARGE ON COUNCIL TAX BILL</t>
  </si>
  <si>
    <t>Tax Base</t>
  </si>
  <si>
    <t>Band D Charge</t>
  </si>
  <si>
    <t>Actual % Increase/Decrease</t>
  </si>
  <si>
    <t xml:space="preserve">Balance per bank statements as at </t>
  </si>
  <si>
    <t xml:space="preserve">Net balances at </t>
  </si>
  <si>
    <t xml:space="preserve">Closing Balance </t>
  </si>
  <si>
    <t>Amazon</t>
  </si>
  <si>
    <t>Grants</t>
  </si>
  <si>
    <t>Microsoft</t>
  </si>
  <si>
    <t>Clean Up and Bloom</t>
  </si>
  <si>
    <t>2403</t>
  </si>
  <si>
    <t>BOX 10 VARIANCE EXPLANATION NOT REQUIRED IF CHANGE CAN BE EXPLAINED BY BOX 5 (CAPITAL PLUS INTEREST PAYMENT)</t>
  </si>
  <si>
    <t>Variances of £200 or less are tolerable</t>
  </si>
  <si>
    <t>Rounding errors of up to £2 are tolerable</t>
  </si>
  <si>
    <t>10 Total Borrowings</t>
  </si>
  <si>
    <t>9 Total Fixed Assets plus Other Long Term Investments and Assets</t>
  </si>
  <si>
    <t>VARIANCE EXPLANATION NOT REQUIRED</t>
  </si>
  <si>
    <t>8 Total Cash and Short Term Investments</t>
  </si>
  <si>
    <t>7 Balances Carried Forward</t>
  </si>
  <si>
    <t>6 All Other Payments</t>
  </si>
  <si>
    <t>5 Loan Interest/Capital Repayment</t>
  </si>
  <si>
    <t>4 Staff Costs</t>
  </si>
  <si>
    <t>3 Total Other Receipts</t>
  </si>
  <si>
    <t>2 Precept or Rates and Levies</t>
  </si>
  <si>
    <t>1 Balances Brought Forward</t>
  </si>
  <si>
    <t>%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</si>
  <si>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</si>
  <si>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</si>
  <si>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Explanation Required?</t>
  </si>
  <si>
    <t>Variance</t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</si>
  <si>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</si>
  <si>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</si>
  <si>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</si>
  <si>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 xml:space="preserve">Name of smaller authority: </t>
  </si>
  <si>
    <t xml:space="preserve">Explanation of variances – pro forma </t>
  </si>
  <si>
    <t>Receipts</t>
  </si>
  <si>
    <t>Reserves Account</t>
  </si>
  <si>
    <t>BALANCE TOTAL</t>
  </si>
  <si>
    <t>TRANSFER</t>
  </si>
  <si>
    <t>Add: Bank Account Receipts</t>
  </si>
  <si>
    <t>Less: Bank Account Payments</t>
  </si>
  <si>
    <t>Administration</t>
  </si>
  <si>
    <t>Training</t>
  </si>
  <si>
    <t>Grass Cutting</t>
  </si>
  <si>
    <t>Village Hall Broadband</t>
  </si>
  <si>
    <t>Community Grants</t>
  </si>
  <si>
    <t>Cllrs Travelling Expenses</t>
  </si>
  <si>
    <t>Website</t>
  </si>
  <si>
    <t>PAWG</t>
  </si>
  <si>
    <t>Mini Recycling</t>
  </si>
  <si>
    <t>Claxton Mill Res Ass</t>
  </si>
  <si>
    <t>Printing</t>
  </si>
  <si>
    <t>ACTUAL
2023/24</t>
  </si>
  <si>
    <t>BUDGET 
2024/25</t>
  </si>
  <si>
    <t>YTD 2024/25
As At Month X</t>
  </si>
  <si>
    <t>BUDGET
2025/26</t>
  </si>
  <si>
    <t>Y/E
Forecast 2024/25</t>
  </si>
  <si>
    <t>Clerk Household Expenses</t>
  </si>
  <si>
    <t>Clerk Travelling Expenses</t>
  </si>
  <si>
    <t>Claxton Mill Residents Ass</t>
  </si>
  <si>
    <t>Contigency</t>
  </si>
  <si>
    <t>Actual 2023/24</t>
  </si>
  <si>
    <t xml:space="preserve">
Actual
2024/25</t>
  </si>
  <si>
    <t xml:space="preserve">
Budget
2025/26</t>
  </si>
  <si>
    <t>Impact on Tax per £1000 per tax base</t>
  </si>
  <si>
    <t>CLAXTON PARISH COUNCIL ANNUAL RETURN 2024/25</t>
  </si>
  <si>
    <t>2024/25</t>
  </si>
  <si>
    <t>Claxton Parish Council</t>
  </si>
  <si>
    <t>Accounts for year ending 31st March 2025</t>
  </si>
  <si>
    <t xml:space="preserve">Misc </t>
  </si>
  <si>
    <t>Opening balance at 1 April 2024 - Current Account</t>
  </si>
  <si>
    <t>Financial year ending 31 March 2025</t>
  </si>
  <si>
    <t>Add: PAWG Receipts</t>
  </si>
  <si>
    <t>Less: PAWG Payments</t>
  </si>
  <si>
    <t>05.04.2024</t>
  </si>
  <si>
    <t>Subscription 24/25</t>
  </si>
  <si>
    <t>CPC 2nd grant payment</t>
  </si>
  <si>
    <t>29.04.2024</t>
  </si>
  <si>
    <t>April</t>
  </si>
  <si>
    <t>April Salary</t>
  </si>
  <si>
    <t>03.05.2024</t>
  </si>
  <si>
    <t>PAYE March</t>
  </si>
  <si>
    <t>22.05.2024</t>
  </si>
  <si>
    <t>SLCC membership - CiLCA</t>
  </si>
  <si>
    <t>IAS/CPC 00455</t>
  </si>
  <si>
    <t>Mr R Goreham</t>
  </si>
  <si>
    <t>Internal Audit 23/24</t>
  </si>
  <si>
    <t>Broadband 24/25</t>
  </si>
  <si>
    <t>May/June</t>
  </si>
  <si>
    <t xml:space="preserve">Expenses and WFH </t>
  </si>
  <si>
    <t>Overtime</t>
  </si>
  <si>
    <t>PAYE April</t>
  </si>
  <si>
    <t>Zurich</t>
  </si>
  <si>
    <t>28.05.2024</t>
  </si>
  <si>
    <t>May Salary</t>
  </si>
  <si>
    <t>11.06.2024</t>
  </si>
  <si>
    <t>Black ink cartridges</t>
  </si>
  <si>
    <t>28.06.2024</t>
  </si>
  <si>
    <t>June</t>
  </si>
  <si>
    <t>June Salary</t>
  </si>
  <si>
    <t>02.07.2024</t>
  </si>
  <si>
    <t>03.07.2024</t>
  </si>
  <si>
    <t>July/August</t>
  </si>
  <si>
    <t>2436/2438</t>
  </si>
  <si>
    <t>CiLCA Qualification/Clerk Networking</t>
  </si>
  <si>
    <t>PAYE May</t>
  </si>
  <si>
    <t>09.07.2024</t>
  </si>
  <si>
    <t>Post Office</t>
  </si>
  <si>
    <t>Stamps</t>
  </si>
  <si>
    <t>07.08.2024</t>
  </si>
  <si>
    <t>365 subscription</t>
  </si>
  <si>
    <t>12.07.2024</t>
  </si>
  <si>
    <t>PAYE June</t>
  </si>
  <si>
    <t>17.07.2024</t>
  </si>
  <si>
    <t>PCC</t>
  </si>
  <si>
    <t>Churchyard maintenance</t>
  </si>
  <si>
    <t>29.07.2024</t>
  </si>
  <si>
    <t>July</t>
  </si>
  <si>
    <t>July Salary</t>
  </si>
  <si>
    <t>28.08.2024</t>
  </si>
  <si>
    <t>August</t>
  </si>
  <si>
    <t>August Salary</t>
  </si>
  <si>
    <t>CPC grant - 2nd payment</t>
  </si>
  <si>
    <t>18.04.2024</t>
  </si>
  <si>
    <t>26.04.2024</t>
  </si>
  <si>
    <t>Claxton Mill</t>
  </si>
  <si>
    <t>2023/24 &amp; 2024/25</t>
  </si>
  <si>
    <t>Oct 23 - Mar 24</t>
  </si>
  <si>
    <t>03.06.2024</t>
  </si>
  <si>
    <t>20.06.2024</t>
  </si>
  <si>
    <t>PAYE up to 05.05.2024</t>
  </si>
  <si>
    <t>27.06.2024</t>
  </si>
  <si>
    <t>Fundraising</t>
  </si>
  <si>
    <t>Mini Recycling 23/24</t>
  </si>
  <si>
    <t xml:space="preserve">PAWG </t>
  </si>
  <si>
    <t>PAYE up to 05.06.2024</t>
  </si>
  <si>
    <t>01.08.2024</t>
  </si>
  <si>
    <t>PAYE up to 05.07.2024</t>
  </si>
  <si>
    <t>23.08.2024</t>
  </si>
  <si>
    <t>Mini Recycling 24/25</t>
  </si>
  <si>
    <t>30.08.2024</t>
  </si>
  <si>
    <t>Big Litter Pick 2024</t>
  </si>
  <si>
    <t>02.09.2024</t>
  </si>
  <si>
    <t>Play Area</t>
  </si>
  <si>
    <t>PAWG Fundraising</t>
  </si>
  <si>
    <t>%AGE OF INCOME &amp; EXPENDITURE 2024/25</t>
  </si>
  <si>
    <t>2024-25</t>
  </si>
  <si>
    <t>PAWG, PCC</t>
  </si>
  <si>
    <t>P25</t>
  </si>
  <si>
    <t>18.09.2024</t>
  </si>
  <si>
    <t>Sept/Oct</t>
  </si>
  <si>
    <t>P26</t>
  </si>
  <si>
    <t>Loddon Garden &amp; DIY</t>
  </si>
  <si>
    <t>P27</t>
  </si>
  <si>
    <t>Autumn Seminar</t>
  </si>
  <si>
    <t>P28</t>
  </si>
  <si>
    <t>Dog Bin</t>
  </si>
  <si>
    <t>P29</t>
  </si>
  <si>
    <t>PAYE July &amp; August</t>
  </si>
  <si>
    <t>P30</t>
  </si>
  <si>
    <t>Newsletter invoice</t>
  </si>
  <si>
    <t>P31</t>
  </si>
  <si>
    <t>19.09.2024</t>
  </si>
  <si>
    <t>Crocus.co.uk</t>
  </si>
  <si>
    <t>P32</t>
  </si>
  <si>
    <t>Shipton Bulbs</t>
  </si>
  <si>
    <t>20.09.2024</t>
  </si>
  <si>
    <t>Sept Precept</t>
  </si>
  <si>
    <t>P33</t>
  </si>
  <si>
    <t>30.09.2024</t>
  </si>
  <si>
    <t>GDPR</t>
  </si>
  <si>
    <t>P34</t>
  </si>
  <si>
    <t>September Studying</t>
  </si>
  <si>
    <t>P35</t>
  </si>
  <si>
    <t>September Salary</t>
  </si>
  <si>
    <t>Clean Up and Bloom Grant</t>
  </si>
  <si>
    <t>R15</t>
  </si>
  <si>
    <t>R16</t>
  </si>
  <si>
    <t>01.10.2024</t>
  </si>
  <si>
    <t>R17</t>
  </si>
  <si>
    <t>04.10.2024</t>
  </si>
  <si>
    <t>Pits Trust</t>
  </si>
  <si>
    <t>Remaining grant</t>
  </si>
  <si>
    <t>R18</t>
  </si>
  <si>
    <t>07.10.2024</t>
  </si>
  <si>
    <t>28848</t>
  </si>
  <si>
    <t>ZA788135</t>
  </si>
  <si>
    <t>P31
P32</t>
  </si>
  <si>
    <t>Crocus Bulbs
Shipton Bulbs</t>
  </si>
  <si>
    <t>P36</t>
  </si>
  <si>
    <t>24.10.2024</t>
  </si>
  <si>
    <t>Pits Trust 2404</t>
  </si>
  <si>
    <t>R19</t>
  </si>
  <si>
    <t>Based on 2.5 CPI</t>
  </si>
  <si>
    <t xml:space="preserve">Funds from Clean Up and Bloom </t>
  </si>
  <si>
    <t>External Audit</t>
  </si>
  <si>
    <t>Per month</t>
  </si>
  <si>
    <t>Cost increase against 24/25</t>
  </si>
  <si>
    <t>P37</t>
  </si>
  <si>
    <t>28.10.2024</t>
  </si>
  <si>
    <t>October</t>
  </si>
  <si>
    <t>October Studying</t>
  </si>
  <si>
    <t>P38</t>
  </si>
  <si>
    <t>October Salary</t>
  </si>
  <si>
    <t>R20</t>
  </si>
  <si>
    <t>29.10.2024</t>
  </si>
  <si>
    <t>P39</t>
  </si>
  <si>
    <t>VAT claim Apr - Sept 24</t>
  </si>
  <si>
    <t>PAYE September</t>
  </si>
  <si>
    <t>R21</t>
  </si>
  <si>
    <t>01.11.2024</t>
  </si>
  <si>
    <t xml:space="preserve">PAYE for September </t>
  </si>
  <si>
    <t>R22</t>
  </si>
  <si>
    <t>13.11.2024</t>
  </si>
  <si>
    <t>Autumn Seminar portion</t>
  </si>
  <si>
    <t>P40</t>
  </si>
  <si>
    <t>27.11.2024</t>
  </si>
  <si>
    <t>November expenses</t>
  </si>
  <si>
    <t>P41</t>
  </si>
  <si>
    <t>Back dated pay</t>
  </si>
  <si>
    <t>P42</t>
  </si>
  <si>
    <t>2nd grass payment</t>
  </si>
  <si>
    <t>P43</t>
  </si>
  <si>
    <t>PAYE up to 5th Nov</t>
  </si>
  <si>
    <t>R23</t>
  </si>
  <si>
    <t>P44</t>
  </si>
  <si>
    <t>November studying</t>
  </si>
  <si>
    <t>28.11.2024</t>
  </si>
  <si>
    <t>P45</t>
  </si>
  <si>
    <t>November salary</t>
  </si>
  <si>
    <t>P46</t>
  </si>
  <si>
    <t>Expenses for planning app</t>
  </si>
  <si>
    <t>P47</t>
  </si>
  <si>
    <t>Website to gov.uk</t>
  </si>
  <si>
    <t>P48</t>
  </si>
  <si>
    <t>CiLCA course</t>
  </si>
  <si>
    <t>P49</t>
  </si>
  <si>
    <t>Membership</t>
  </si>
  <si>
    <t>R24</t>
  </si>
  <si>
    <t>02.12.2024</t>
  </si>
  <si>
    <t>CiLCA</t>
  </si>
  <si>
    <t>gov.uk</t>
  </si>
  <si>
    <t>NPTS, Norfolk ALC, SLCC (shared), Microsoft 365, ICO</t>
  </si>
  <si>
    <t>£65 - SLCC (£195 shared)
£35 - GDPR
£70 - Microsoft 365
£150 - Norfolk ALC</t>
  </si>
  <si>
    <t>£70 annual management 
Domain due 2026</t>
  </si>
  <si>
    <t>In event play area project starts.</t>
  </si>
  <si>
    <t>Basic Salary - £3,587 (5 months at 17.33 hours per month and 7 months at 21.66 hours per month - increase to 5 hours a week from Sept 25)
Appraisal pay rise - £100
National Pay Rise - £100
CiLCA study - £173
Grant application O/T - happy to take a lieu at time and half?</t>
  </si>
  <si>
    <t>17.12.2024</t>
  </si>
  <si>
    <t>Nancy Wright</t>
  </si>
  <si>
    <t>P50</t>
  </si>
  <si>
    <t>18.12.2024</t>
  </si>
  <si>
    <t>R25</t>
  </si>
  <si>
    <t>R26</t>
  </si>
  <si>
    <t>P51</t>
  </si>
  <si>
    <t>23.12.2024</t>
  </si>
  <si>
    <t>Ink cartridges</t>
  </si>
  <si>
    <t>P52</t>
  </si>
  <si>
    <t>30.12.2024</t>
  </si>
  <si>
    <t>December study</t>
  </si>
  <si>
    <t>P53</t>
  </si>
  <si>
    <t>December salary</t>
  </si>
  <si>
    <t>P54</t>
  </si>
  <si>
    <t>22.01.2025</t>
  </si>
  <si>
    <t>Jan and Feb expenses</t>
  </si>
  <si>
    <t>P55</t>
  </si>
  <si>
    <t>PAYE for Dec and Jan</t>
  </si>
  <si>
    <t>P56</t>
  </si>
  <si>
    <t>Jan Study</t>
  </si>
  <si>
    <t>P57</t>
  </si>
  <si>
    <t>Jan Salary</t>
  </si>
  <si>
    <t>R27</t>
  </si>
  <si>
    <t>28.01.2025</t>
  </si>
  <si>
    <t>P58</t>
  </si>
  <si>
    <t>17.02.2025</t>
  </si>
  <si>
    <t xml:space="preserve">Stamp </t>
  </si>
  <si>
    <t>P59</t>
  </si>
  <si>
    <t>28.02.2025</t>
  </si>
  <si>
    <t>February Study</t>
  </si>
  <si>
    <t>P60</t>
  </si>
  <si>
    <t>February salary</t>
  </si>
  <si>
    <t>PAYE for Feb</t>
  </si>
  <si>
    <t>R28</t>
  </si>
  <si>
    <t>R29</t>
  </si>
  <si>
    <t>03.03.2025</t>
  </si>
  <si>
    <t>Opening balance at 1 April 2024 - PAWG</t>
  </si>
  <si>
    <t>R30</t>
  </si>
  <si>
    <t>14.03.2025</t>
  </si>
  <si>
    <t>VE Day Grant</t>
  </si>
  <si>
    <t>Pits Trust remaining balance
VE Day grant</t>
  </si>
  <si>
    <t>VE Day</t>
  </si>
  <si>
    <t>P61</t>
  </si>
  <si>
    <t>20.03.2025</t>
  </si>
  <si>
    <t>Claxton Village Hall</t>
  </si>
  <si>
    <t>VE Grant</t>
  </si>
  <si>
    <t>P62</t>
  </si>
  <si>
    <t>March Expenses</t>
  </si>
  <si>
    <t>P63</t>
  </si>
  <si>
    <t>PAYE up to 5th April</t>
  </si>
  <si>
    <t>P64</t>
  </si>
  <si>
    <t>28.03.2025</t>
  </si>
  <si>
    <t>March Study</t>
  </si>
  <si>
    <t>P65</t>
  </si>
  <si>
    <t>March Salary</t>
  </si>
  <si>
    <t>R31</t>
  </si>
  <si>
    <t>PAYe up to 5th April</t>
  </si>
  <si>
    <t>Increase was to cover Clerk's studying hours for CiLCA qualification £532 increase.
£1000 to cover potential additional costs involved in the play area project.</t>
  </si>
  <si>
    <t>£3000 remaining funding for play area from Pit's Trust
£300 VE Day funding
£418.01 PAYE reimbursement from Clerk
£70.02 Interest
£37.34 reimbursement for shared clerk training with Rockland and Surlingham PC
£30.00 Fundraising monies paid in
Larger VAT claim due to installing of fencing on The Warren - £1377</t>
  </si>
  <si>
    <t xml:space="preserve">23/24 included:
purchase of fencing £6885.00
felling of trees £500.00
laptop refurn £96.64
new councillor training £132
</t>
  </si>
  <si>
    <t>Clerk</t>
  </si>
  <si>
    <t>Norfolk Parish Training and Support</t>
  </si>
  <si>
    <t>South Norfolk District Council</t>
  </si>
  <si>
    <t>Play Area Working Group</t>
  </si>
  <si>
    <t xml:space="preserve">Ceilidh Play Area Working Group </t>
  </si>
  <si>
    <t>Play Area Working Group Ceilidh</t>
  </si>
  <si>
    <t>Surlingham Parish Council</t>
  </si>
  <si>
    <t>Councillor Wallis-Garcia</t>
  </si>
  <si>
    <t>Information Commissioners Office</t>
  </si>
  <si>
    <t>Rockland St Mary with Hellington Parish Council</t>
  </si>
  <si>
    <t>Councillor Gidlow</t>
  </si>
  <si>
    <t>Norfolk Assocation of Local Councils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</si>
</sst>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* #,##0_-;\-* #,##0_-;_-* &quot;-&quot;??_-;_-@_-"/>
    <numFmt numFmtId="166" formatCode="dd/mm/yyyy;@"/>
    <numFmt numFmtId="167" formatCode="0_ ;[Red]\-0\ 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/>
      <bottom/>
      <diagonal style="thin">
        <color theme="0" tint="-0.14996795556505021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B8CCE4"/>
      </left>
      <right style="thin">
        <color rgb="FFB8CCE4"/>
      </right>
      <top style="thin">
        <color theme="0"/>
      </top>
      <bottom style="thin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79998168889431442"/>
      </bottom>
      <diagonal/>
    </border>
    <border>
      <left style="thin">
        <color rgb="FFB8CCE4"/>
      </left>
      <right style="thin">
        <color rgb="FFB8CCE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rgb="FFB8CCE4"/>
      </left>
      <right style="thin">
        <color rgb="FFB8CCE4"/>
      </right>
      <top style="thin">
        <color theme="4" tint="0.59996337778862885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5" tint="0.7999816888943144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B8CCE4"/>
      </left>
      <right style="thin">
        <color rgb="FFB8CCE4"/>
      </right>
      <top style="thin">
        <color indexed="64"/>
      </top>
      <bottom style="thin">
        <color theme="4" tint="0.59996337778862885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5" tint="0.79998168889431442"/>
      </bottom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theme="4" tint="0.59996337778862885"/>
      </bottom>
      <diagonal/>
    </border>
    <border>
      <left style="thin">
        <color rgb="FFB8CCE4"/>
      </left>
      <right style="thin">
        <color rgb="FFB8CCE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5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rgb="FFC6EFCE"/>
      </bottom>
      <diagonal/>
    </border>
    <border>
      <left style="thin">
        <color indexed="64"/>
      </left>
      <right/>
      <top style="thin">
        <color rgb="FFC6EFCE"/>
      </top>
      <bottom style="thin">
        <color rgb="FFC6EFCE"/>
      </bottom>
      <diagonal/>
    </border>
    <border>
      <left style="thin">
        <color indexed="64"/>
      </left>
      <right/>
      <top style="thin">
        <color rgb="FFC6EFCE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C6EFCE"/>
      </bottom>
      <diagonal/>
    </border>
    <border>
      <left style="thin">
        <color indexed="64"/>
      </left>
      <right/>
      <top/>
      <bottom style="thin">
        <color rgb="FFC6EFCE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double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5" tint="0.79998168889431442"/>
      </bottom>
      <diagonal/>
    </border>
    <border>
      <left style="thin">
        <color rgb="FFB8CCE4"/>
      </left>
      <right style="thin">
        <color rgb="FFB8CCE4"/>
      </right>
      <top style="thin">
        <color theme="4" tint="0.59996337778862885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11" fillId="0" borderId="0"/>
    <xf numFmtId="0" fontId="1" fillId="0" borderId="0"/>
    <xf numFmtId="9" fontId="2" fillId="0" borderId="0" applyFont="0" applyFill="0" applyBorder="0" applyAlignment="0" applyProtection="0"/>
    <xf numFmtId="0" fontId="26" fillId="4" borderId="0" applyNumberFormat="0" applyBorder="0" applyAlignment="0" applyProtection="0"/>
    <xf numFmtId="0" fontId="3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2">
    <xf numFmtId="0" fontId="0" fillId="0" borderId="0" xfId="0"/>
    <xf numFmtId="0" fontId="0" fillId="0" borderId="1" xfId="0" applyBorder="1"/>
    <xf numFmtId="0" fontId="13" fillId="2" borderId="0" xfId="3" applyNumberFormat="1" applyFont="1" applyFill="1" applyBorder="1" applyAlignment="1">
      <alignment horizontal="center"/>
    </xf>
    <xf numFmtId="44" fontId="13" fillId="2" borderId="0" xfId="3" applyFont="1" applyFill="1" applyBorder="1" applyAlignment="1">
      <alignment horizontal="right"/>
    </xf>
    <xf numFmtId="44" fontId="14" fillId="2" borderId="0" xfId="3" applyFont="1" applyFill="1" applyBorder="1" applyAlignment="1">
      <alignment horizontal="left"/>
    </xf>
    <xf numFmtId="44" fontId="13" fillId="2" borderId="2" xfId="3" applyFont="1" applyFill="1" applyBorder="1" applyAlignment="1">
      <alignment horizontal="left"/>
    </xf>
    <xf numFmtId="0" fontId="14" fillId="2" borderId="0" xfId="4" applyFont="1" applyFill="1" applyAlignment="1">
      <alignment horizontal="left"/>
    </xf>
    <xf numFmtId="4" fontId="13" fillId="2" borderId="0" xfId="4" applyNumberFormat="1" applyFont="1" applyFill="1" applyAlignment="1">
      <alignment horizontal="left"/>
    </xf>
    <xf numFmtId="0" fontId="7" fillId="2" borderId="0" xfId="4" applyFont="1" applyFill="1"/>
    <xf numFmtId="0" fontId="13" fillId="2" borderId="0" xfId="4" applyFont="1" applyFill="1" applyAlignment="1">
      <alignment horizontal="left"/>
    </xf>
    <xf numFmtId="0" fontId="13" fillId="2" borderId="0" xfId="4" applyFont="1" applyFill="1" applyAlignment="1">
      <alignment horizontal="left" wrapText="1"/>
    </xf>
    <xf numFmtId="4" fontId="14" fillId="2" borderId="0" xfId="4" applyNumberFormat="1" applyFont="1" applyFill="1" applyAlignment="1">
      <alignment horizontal="left"/>
    </xf>
    <xf numFmtId="0" fontId="6" fillId="2" borderId="0" xfId="4" applyFill="1"/>
    <xf numFmtId="0" fontId="14" fillId="2" borderId="0" xfId="4" applyFont="1" applyFill="1" applyAlignment="1">
      <alignment horizontal="left" wrapText="1"/>
    </xf>
    <xf numFmtId="4" fontId="13" fillId="2" borderId="0" xfId="4" applyNumberFormat="1" applyFont="1" applyFill="1" applyAlignment="1">
      <alignment horizontal="left" wrapText="1"/>
    </xf>
    <xf numFmtId="0" fontId="10" fillId="0" borderId="0" xfId="6" applyFont="1" applyAlignment="1">
      <alignment vertical="top"/>
    </xf>
    <xf numFmtId="49" fontId="10" fillId="0" borderId="0" xfId="6" applyNumberFormat="1" applyFont="1" applyAlignment="1">
      <alignment wrapText="1"/>
    </xf>
    <xf numFmtId="166" fontId="9" fillId="0" borderId="0" xfId="6" applyNumberFormat="1" applyFont="1" applyAlignment="1">
      <alignment horizontal="center" wrapText="1"/>
    </xf>
    <xf numFmtId="0" fontId="10" fillId="0" borderId="4" xfId="6" applyFont="1" applyBorder="1" applyAlignment="1">
      <alignment vertical="top"/>
    </xf>
    <xf numFmtId="49" fontId="10" fillId="0" borderId="4" xfId="6" applyNumberFormat="1" applyFont="1" applyBorder="1" applyAlignment="1">
      <alignment wrapText="1"/>
    </xf>
    <xf numFmtId="14" fontId="9" fillId="0" borderId="4" xfId="6" applyNumberFormat="1" applyFont="1" applyBorder="1" applyAlignment="1">
      <alignment horizontal="center"/>
    </xf>
    <xf numFmtId="4" fontId="9" fillId="0" borderId="4" xfId="6" applyNumberFormat="1" applyFont="1" applyBorder="1" applyAlignment="1">
      <alignment horizontal="center"/>
    </xf>
    <xf numFmtId="0" fontId="10" fillId="0" borderId="5" xfId="6" applyFont="1" applyBorder="1" applyAlignment="1">
      <alignment vertical="top"/>
    </xf>
    <xf numFmtId="49" fontId="10" fillId="0" borderId="5" xfId="6" applyNumberFormat="1" applyFont="1" applyBorder="1" applyAlignment="1">
      <alignment wrapText="1"/>
    </xf>
    <xf numFmtId="0" fontId="11" fillId="0" borderId="0" xfId="5"/>
    <xf numFmtId="165" fontId="9" fillId="0" borderId="0" xfId="2" applyNumberFormat="1" applyFont="1"/>
    <xf numFmtId="4" fontId="9" fillId="0" borderId="0" xfId="2" applyNumberFormat="1" applyFont="1"/>
    <xf numFmtId="43" fontId="10" fillId="0" borderId="0" xfId="6" applyNumberFormat="1" applyFont="1"/>
    <xf numFmtId="164" fontId="15" fillId="0" borderId="0" xfId="4" applyNumberFormat="1" applyFont="1" applyAlignment="1">
      <alignment horizontal="center"/>
    </xf>
    <xf numFmtId="44" fontId="17" fillId="0" borderId="0" xfId="3" applyFont="1" applyFill="1" applyBorder="1" applyAlignment="1">
      <alignment horizontal="left"/>
    </xf>
    <xf numFmtId="0" fontId="13" fillId="2" borderId="0" xfId="4" applyFont="1" applyFill="1" applyAlignment="1">
      <alignment horizontal="center"/>
    </xf>
    <xf numFmtId="0" fontId="22" fillId="0" borderId="0" xfId="0" applyFont="1"/>
    <xf numFmtId="0" fontId="21" fillId="0" borderId="0" xfId="0" applyFont="1"/>
    <xf numFmtId="44" fontId="23" fillId="0" borderId="0" xfId="3" applyFont="1"/>
    <xf numFmtId="0" fontId="23" fillId="0" borderId="0" xfId="0" applyFont="1"/>
    <xf numFmtId="15" fontId="23" fillId="0" borderId="0" xfId="3" applyNumberFormat="1" applyFont="1" applyFill="1"/>
    <xf numFmtId="0" fontId="24" fillId="0" borderId="0" xfId="0" applyFont="1"/>
    <xf numFmtId="44" fontId="23" fillId="0" borderId="0" xfId="3" applyFont="1" applyFill="1"/>
    <xf numFmtId="44" fontId="23" fillId="0" borderId="3" xfId="3" applyFont="1" applyBorder="1"/>
    <xf numFmtId="164" fontId="23" fillId="0" borderId="0" xfId="0" applyNumberFormat="1" applyFont="1"/>
    <xf numFmtId="44" fontId="23" fillId="0" borderId="2" xfId="3" applyFont="1" applyBorder="1"/>
    <xf numFmtId="44" fontId="21" fillId="0" borderId="0" xfId="3" applyFont="1"/>
    <xf numFmtId="44" fontId="22" fillId="0" borderId="0" xfId="3" applyFont="1"/>
    <xf numFmtId="0" fontId="0" fillId="0" borderId="11" xfId="0" applyBorder="1"/>
    <xf numFmtId="0" fontId="22" fillId="0" borderId="7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6" borderId="1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right" wrapText="1"/>
    </xf>
    <xf numFmtId="0" fontId="28" fillId="0" borderId="11" xfId="0" applyFont="1" applyBorder="1" applyAlignment="1">
      <alignment wrapText="1"/>
    </xf>
    <xf numFmtId="4" fontId="25" fillId="7" borderId="13" xfId="8" applyNumberFormat="1" applyFont="1" applyFill="1" applyBorder="1" applyAlignment="1">
      <alignment horizontal="center" vertical="center" wrapText="1"/>
    </xf>
    <xf numFmtId="166" fontId="22" fillId="0" borderId="7" xfId="0" applyNumberFormat="1" applyFont="1" applyBorder="1"/>
    <xf numFmtId="166" fontId="22" fillId="0" borderId="11" xfId="0" applyNumberFormat="1" applyFont="1" applyBorder="1"/>
    <xf numFmtId="166" fontId="22" fillId="6" borderId="14" xfId="0" applyNumberFormat="1" applyFont="1" applyFill="1" applyBorder="1" applyAlignment="1">
      <alignment horizontal="center" vertical="center"/>
    </xf>
    <xf numFmtId="166" fontId="22" fillId="0" borderId="10" xfId="0" applyNumberFormat="1" applyFont="1" applyBorder="1" applyAlignment="1">
      <alignment horizontal="right"/>
    </xf>
    <xf numFmtId="166" fontId="25" fillId="7" borderId="15" xfId="8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wrapText="1"/>
    </xf>
    <xf numFmtId="0" fontId="22" fillId="0" borderId="17" xfId="0" applyFont="1" applyBorder="1"/>
    <xf numFmtId="0" fontId="22" fillId="0" borderId="17" xfId="0" applyFont="1" applyBorder="1" applyAlignment="1">
      <alignment wrapText="1"/>
    </xf>
    <xf numFmtId="0" fontId="22" fillId="6" borderId="18" xfId="0" applyFont="1" applyFill="1" applyBorder="1" applyAlignment="1">
      <alignment horizontal="center" wrapText="1"/>
    </xf>
    <xf numFmtId="0" fontId="22" fillId="0" borderId="19" xfId="0" applyFont="1" applyBorder="1" applyAlignment="1">
      <alignment horizontal="right" wrapText="1"/>
    </xf>
    <xf numFmtId="166" fontId="28" fillId="0" borderId="17" xfId="0" applyNumberFormat="1" applyFont="1" applyBorder="1"/>
    <xf numFmtId="4" fontId="25" fillId="7" borderId="20" xfId="8" applyNumberFormat="1" applyFont="1" applyFill="1" applyBorder="1" applyAlignment="1">
      <alignment horizontal="center" wrapText="1"/>
    </xf>
    <xf numFmtId="0" fontId="22" fillId="0" borderId="21" xfId="0" applyFont="1" applyBorder="1"/>
    <xf numFmtId="0" fontId="22" fillId="0" borderId="22" xfId="0" applyFont="1" applyBorder="1"/>
    <xf numFmtId="4" fontId="22" fillId="6" borderId="23" xfId="0" applyNumberFormat="1" applyFont="1" applyFill="1" applyBorder="1" applyAlignment="1">
      <alignment horizontal="right"/>
    </xf>
    <xf numFmtId="4" fontId="22" fillId="0" borderId="24" xfId="0" applyNumberFormat="1" applyFont="1" applyBorder="1" applyAlignment="1">
      <alignment horizontal="right"/>
    </xf>
    <xf numFmtId="0" fontId="28" fillId="0" borderId="22" xfId="0" applyFont="1" applyBorder="1"/>
    <xf numFmtId="0" fontId="22" fillId="0" borderId="7" xfId="0" applyFont="1" applyBorder="1"/>
    <xf numFmtId="0" fontId="22" fillId="0" borderId="11" xfId="0" applyFont="1" applyBorder="1"/>
    <xf numFmtId="4" fontId="22" fillId="6" borderId="14" xfId="0" applyNumberFormat="1" applyFont="1" applyFill="1" applyBorder="1" applyAlignment="1">
      <alignment horizontal="right"/>
    </xf>
    <xf numFmtId="4" fontId="22" fillId="0" borderId="10" xfId="0" applyNumberFormat="1" applyFont="1" applyBorder="1" applyAlignment="1">
      <alignment horizontal="right"/>
    </xf>
    <xf numFmtId="0" fontId="28" fillId="0" borderId="11" xfId="0" applyFont="1" applyBorder="1"/>
    <xf numFmtId="4" fontId="25" fillId="7" borderId="15" xfId="8" applyNumberFormat="1" applyFont="1" applyFill="1" applyBorder="1" applyAlignment="1">
      <alignment horizontal="right"/>
    </xf>
    <xf numFmtId="4" fontId="22" fillId="6" borderId="26" xfId="0" applyNumberFormat="1" applyFont="1" applyFill="1" applyBorder="1" applyAlignment="1">
      <alignment horizontal="right"/>
    </xf>
    <xf numFmtId="0" fontId="30" fillId="0" borderId="7" xfId="0" applyFont="1" applyBorder="1"/>
    <xf numFmtId="0" fontId="30" fillId="0" borderId="11" xfId="0" applyFont="1" applyBorder="1"/>
    <xf numFmtId="4" fontId="30" fillId="6" borderId="23" xfId="0" applyNumberFormat="1" applyFont="1" applyFill="1" applyBorder="1" applyAlignment="1">
      <alignment horizontal="right"/>
    </xf>
    <xf numFmtId="4" fontId="30" fillId="0" borderId="10" xfId="0" applyNumberFormat="1" applyFont="1" applyBorder="1" applyAlignment="1">
      <alignment horizontal="right"/>
    </xf>
    <xf numFmtId="0" fontId="31" fillId="0" borderId="11" xfId="0" applyFont="1" applyBorder="1"/>
    <xf numFmtId="4" fontId="29" fillId="7" borderId="25" xfId="8" applyNumberFormat="1" applyFont="1" applyFill="1" applyBorder="1" applyAlignment="1">
      <alignment horizontal="right"/>
    </xf>
    <xf numFmtId="0" fontId="22" fillId="0" borderId="16" xfId="0" applyFont="1" applyBorder="1"/>
    <xf numFmtId="4" fontId="22" fillId="0" borderId="19" xfId="0" applyNumberFormat="1" applyFont="1" applyBorder="1" applyAlignment="1">
      <alignment horizontal="right"/>
    </xf>
    <xf numFmtId="0" fontId="22" fillId="0" borderId="7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4" fontId="22" fillId="0" borderId="10" xfId="0" applyNumberFormat="1" applyFont="1" applyBorder="1" applyAlignment="1">
      <alignment horizontal="right" vertical="center" wrapText="1"/>
    </xf>
    <xf numFmtId="0" fontId="22" fillId="0" borderId="10" xfId="0" applyFont="1" applyBorder="1"/>
    <xf numFmtId="4" fontId="33" fillId="6" borderId="23" xfId="0" applyNumberFormat="1" applyFont="1" applyFill="1" applyBorder="1" applyAlignment="1">
      <alignment horizontal="right"/>
    </xf>
    <xf numFmtId="0" fontId="36" fillId="0" borderId="11" xfId="9" applyFont="1" applyBorder="1"/>
    <xf numFmtId="4" fontId="34" fillId="7" borderId="15" xfId="8" applyNumberFormat="1" applyFont="1" applyFill="1" applyBorder="1" applyAlignment="1">
      <alignment horizontal="right"/>
    </xf>
    <xf numFmtId="0" fontId="22" fillId="0" borderId="11" xfId="0" applyFont="1" applyBorder="1" applyAlignment="1">
      <alignment horizontal="right"/>
    </xf>
    <xf numFmtId="4" fontId="32" fillId="6" borderId="18" xfId="0" applyNumberFormat="1" applyFont="1" applyFill="1" applyBorder="1" applyAlignment="1">
      <alignment horizontal="right"/>
    </xf>
    <xf numFmtId="4" fontId="32" fillId="7" borderId="20" xfId="8" applyNumberFormat="1" applyFont="1" applyFill="1" applyBorder="1" applyAlignment="1">
      <alignment horizontal="right"/>
    </xf>
    <xf numFmtId="4" fontId="29" fillId="0" borderId="10" xfId="0" applyNumberFormat="1" applyFont="1" applyBorder="1" applyAlignment="1">
      <alignment horizontal="right"/>
    </xf>
    <xf numFmtId="4" fontId="22" fillId="0" borderId="5" xfId="0" applyNumberFormat="1" applyFont="1" applyBorder="1" applyAlignment="1">
      <alignment horizontal="right"/>
    </xf>
    <xf numFmtId="0" fontId="22" fillId="0" borderId="30" xfId="0" applyFont="1" applyBorder="1"/>
    <xf numFmtId="4" fontId="22" fillId="2" borderId="31" xfId="0" applyNumberFormat="1" applyFont="1" applyFill="1" applyBorder="1" applyAlignment="1">
      <alignment horizontal="right"/>
    </xf>
    <xf numFmtId="4" fontId="22" fillId="0" borderId="30" xfId="0" applyNumberFormat="1" applyFont="1" applyBorder="1" applyAlignment="1">
      <alignment horizontal="right"/>
    </xf>
    <xf numFmtId="0" fontId="28" fillId="0" borderId="32" xfId="0" applyFont="1" applyBorder="1"/>
    <xf numFmtId="166" fontId="22" fillId="0" borderId="9" xfId="0" applyNumberFormat="1" applyFont="1" applyBorder="1" applyAlignment="1">
      <alignment horizontal="right"/>
    </xf>
    <xf numFmtId="4" fontId="22" fillId="0" borderId="7" xfId="0" applyNumberFormat="1" applyFont="1" applyBorder="1" applyAlignment="1">
      <alignment horizontal="right"/>
    </xf>
    <xf numFmtId="0" fontId="30" fillId="0" borderId="11" xfId="0" applyFont="1" applyBorder="1" applyAlignment="1">
      <alignment wrapText="1"/>
    </xf>
    <xf numFmtId="4" fontId="22" fillId="0" borderId="9" xfId="0" applyNumberFormat="1" applyFont="1" applyBorder="1"/>
    <xf numFmtId="4" fontId="32" fillId="0" borderId="33" xfId="0" applyNumberFormat="1" applyFont="1" applyBorder="1" applyAlignment="1">
      <alignment horizontal="right"/>
    </xf>
    <xf numFmtId="4" fontId="25" fillId="0" borderId="33" xfId="0" applyNumberFormat="1" applyFont="1" applyBorder="1" applyAlignment="1">
      <alignment horizontal="right"/>
    </xf>
    <xf numFmtId="0" fontId="25" fillId="0" borderId="7" xfId="0" applyFont="1" applyBorder="1"/>
    <xf numFmtId="4" fontId="25" fillId="0" borderId="10" xfId="0" applyNumberFormat="1" applyFont="1" applyBorder="1" applyAlignment="1">
      <alignment horizontal="right"/>
    </xf>
    <xf numFmtId="4" fontId="25" fillId="0" borderId="7" xfId="0" applyNumberFormat="1" applyFont="1" applyBorder="1" applyAlignment="1">
      <alignment horizontal="right"/>
    </xf>
    <xf numFmtId="0" fontId="25" fillId="0" borderId="11" xfId="0" applyFont="1" applyBorder="1"/>
    <xf numFmtId="0" fontId="20" fillId="0" borderId="0" xfId="0" applyFont="1"/>
    <xf numFmtId="4" fontId="30" fillId="0" borderId="2" xfId="0" applyNumberFormat="1" applyFont="1" applyBorder="1" applyAlignment="1">
      <alignment horizontal="right"/>
    </xf>
    <xf numFmtId="4" fontId="22" fillId="0" borderId="9" xfId="0" applyNumberFormat="1" applyFont="1" applyBorder="1" applyAlignment="1">
      <alignment horizontal="right"/>
    </xf>
    <xf numFmtId="4" fontId="22" fillId="6" borderId="27" xfId="0" applyNumberFormat="1" applyFont="1" applyFill="1" applyBorder="1" applyAlignment="1">
      <alignment horizontal="right"/>
    </xf>
    <xf numFmtId="4" fontId="25" fillId="7" borderId="34" xfId="8" applyNumberFormat="1" applyFont="1" applyFill="1" applyBorder="1" applyAlignment="1">
      <alignment horizontal="right"/>
    </xf>
    <xf numFmtId="4" fontId="22" fillId="0" borderId="33" xfId="0" applyNumberFormat="1" applyFont="1" applyBorder="1"/>
    <xf numFmtId="0" fontId="21" fillId="10" borderId="0" xfId="0" applyFont="1" applyFill="1"/>
    <xf numFmtId="0" fontId="23" fillId="10" borderId="0" xfId="0" applyFont="1" applyFill="1"/>
    <xf numFmtId="0" fontId="30" fillId="0" borderId="16" xfId="0" applyFont="1" applyBorder="1"/>
    <xf numFmtId="0" fontId="12" fillId="0" borderId="16" xfId="0" applyFont="1" applyBorder="1"/>
    <xf numFmtId="4" fontId="30" fillId="0" borderId="19" xfId="0" applyNumberFormat="1" applyFont="1" applyBorder="1" applyAlignment="1">
      <alignment horizontal="right"/>
    </xf>
    <xf numFmtId="4" fontId="30" fillId="0" borderId="16" xfId="0" applyNumberFormat="1" applyFont="1" applyBorder="1" applyAlignment="1">
      <alignment horizontal="right"/>
    </xf>
    <xf numFmtId="0" fontId="12" fillId="0" borderId="17" xfId="0" applyFont="1" applyBorder="1"/>
    <xf numFmtId="4" fontId="25" fillId="5" borderId="37" xfId="8" applyNumberFormat="1" applyFont="1" applyFill="1" applyBorder="1" applyAlignment="1">
      <alignment horizontal="center" vertical="center" wrapText="1"/>
    </xf>
    <xf numFmtId="166" fontId="25" fillId="4" borderId="38" xfId="8" applyNumberFormat="1" applyFont="1" applyBorder="1" applyAlignment="1">
      <alignment horizontal="center" vertical="center"/>
    </xf>
    <xf numFmtId="4" fontId="25" fillId="4" borderId="39" xfId="8" applyNumberFormat="1" applyFont="1" applyBorder="1" applyAlignment="1">
      <alignment horizontal="center" wrapText="1"/>
    </xf>
    <xf numFmtId="4" fontId="25" fillId="4" borderId="40" xfId="8" applyNumberFormat="1" applyFont="1" applyBorder="1" applyAlignment="1">
      <alignment horizontal="right"/>
    </xf>
    <xf numFmtId="4" fontId="25" fillId="4" borderId="38" xfId="8" applyNumberFormat="1" applyFont="1" applyBorder="1" applyAlignment="1">
      <alignment horizontal="right"/>
    </xf>
    <xf numFmtId="4" fontId="25" fillId="4" borderId="41" xfId="8" applyNumberFormat="1" applyFont="1" applyBorder="1" applyAlignment="1">
      <alignment horizontal="right"/>
    </xf>
    <xf numFmtId="4" fontId="29" fillId="4" borderId="40" xfId="8" applyNumberFormat="1" applyFont="1" applyBorder="1" applyAlignment="1">
      <alignment horizontal="right"/>
    </xf>
    <xf numFmtId="4" fontId="32" fillId="4" borderId="40" xfId="8" applyNumberFormat="1" applyFont="1" applyBorder="1" applyAlignment="1">
      <alignment horizontal="right" vertical="center" wrapText="1"/>
    </xf>
    <xf numFmtId="4" fontId="32" fillId="4" borderId="38" xfId="8" applyNumberFormat="1" applyFont="1" applyBorder="1" applyAlignment="1">
      <alignment horizontal="right" vertical="center" wrapText="1"/>
    </xf>
    <xf numFmtId="4" fontId="32" fillId="4" borderId="38" xfId="8" applyNumberFormat="1" applyFont="1" applyBorder="1"/>
    <xf numFmtId="4" fontId="32" fillId="4" borderId="38" xfId="8" applyNumberFormat="1" applyFont="1" applyBorder="1" applyAlignment="1">
      <alignment horizontal="right"/>
    </xf>
    <xf numFmtId="4" fontId="33" fillId="4" borderId="40" xfId="8" applyNumberFormat="1" applyFont="1" applyBorder="1" applyAlignment="1">
      <alignment horizontal="right"/>
    </xf>
    <xf numFmtId="4" fontId="34" fillId="4" borderId="38" xfId="8" applyNumberFormat="1" applyFont="1" applyBorder="1" applyAlignment="1">
      <alignment horizontal="right"/>
    </xf>
    <xf numFmtId="4" fontId="32" fillId="4" borderId="39" xfId="8" applyNumberFormat="1" applyFont="1" applyBorder="1" applyAlignment="1">
      <alignment horizontal="right"/>
    </xf>
    <xf numFmtId="4" fontId="29" fillId="4" borderId="42" xfId="8" applyNumberFormat="1" applyFont="1" applyBorder="1" applyAlignment="1">
      <alignment horizontal="right"/>
    </xf>
    <xf numFmtId="4" fontId="22" fillId="0" borderId="43" xfId="0" applyNumberFormat="1" applyFont="1" applyBorder="1" applyAlignment="1">
      <alignment horizontal="right"/>
    </xf>
    <xf numFmtId="166" fontId="22" fillId="0" borderId="36" xfId="0" applyNumberFormat="1" applyFont="1" applyBorder="1" applyAlignment="1">
      <alignment horizontal="right"/>
    </xf>
    <xf numFmtId="4" fontId="22" fillId="0" borderId="36" xfId="0" applyNumberFormat="1" applyFont="1" applyBorder="1"/>
    <xf numFmtId="4" fontId="22" fillId="0" borderId="44" xfId="0" applyNumberFormat="1" applyFont="1" applyBorder="1"/>
    <xf numFmtId="4" fontId="32" fillId="0" borderId="44" xfId="0" applyNumberFormat="1" applyFont="1" applyBorder="1" applyAlignment="1">
      <alignment horizontal="right"/>
    </xf>
    <xf numFmtId="4" fontId="25" fillId="0" borderId="44" xfId="0" applyNumberFormat="1" applyFont="1" applyBorder="1" applyAlignment="1">
      <alignment horizontal="right"/>
    </xf>
    <xf numFmtId="4" fontId="30" fillId="0" borderId="42" xfId="0" applyNumberFormat="1" applyFont="1" applyBorder="1" applyAlignment="1">
      <alignment horizontal="right"/>
    </xf>
    <xf numFmtId="4" fontId="22" fillId="0" borderId="36" xfId="0" applyNumberFormat="1" applyFont="1" applyBorder="1" applyAlignment="1">
      <alignment horizontal="right"/>
    </xf>
    <xf numFmtId="4" fontId="22" fillId="0" borderId="44" xfId="0" applyNumberFormat="1" applyFont="1" applyBorder="1" applyAlignment="1">
      <alignment horizontal="right"/>
    </xf>
    <xf numFmtId="4" fontId="30" fillId="0" borderId="46" xfId="0" applyNumberFormat="1" applyFont="1" applyBorder="1" applyAlignment="1">
      <alignment horizontal="right"/>
    </xf>
    <xf numFmtId="4" fontId="25" fillId="4" borderId="45" xfId="8" applyNumberFormat="1" applyFont="1" applyBorder="1" applyAlignment="1">
      <alignment horizontal="right"/>
    </xf>
    <xf numFmtId="44" fontId="0" fillId="0" borderId="0" xfId="0" applyNumberFormat="1"/>
    <xf numFmtId="0" fontId="0" fillId="7" borderId="1" xfId="0" applyFill="1" applyBorder="1"/>
    <xf numFmtId="0" fontId="39" fillId="7" borderId="1" xfId="0" applyFont="1" applyFill="1" applyBorder="1"/>
    <xf numFmtId="0" fontId="0" fillId="12" borderId="1" xfId="0" applyFill="1" applyBorder="1"/>
    <xf numFmtId="0" fontId="39" fillId="12" borderId="1" xfId="0" applyFont="1" applyFill="1" applyBorder="1"/>
    <xf numFmtId="0" fontId="0" fillId="14" borderId="1" xfId="0" applyFill="1" applyBorder="1"/>
    <xf numFmtId="44" fontId="39" fillId="7" borderId="1" xfId="0" applyNumberFormat="1" applyFont="1" applyFill="1" applyBorder="1"/>
    <xf numFmtId="44" fontId="39" fillId="12" borderId="1" xfId="0" applyNumberFormat="1" applyFont="1" applyFill="1" applyBorder="1"/>
    <xf numFmtId="44" fontId="0" fillId="14" borderId="1" xfId="0" applyNumberFormat="1" applyFill="1" applyBorder="1"/>
    <xf numFmtId="44" fontId="0" fillId="7" borderId="1" xfId="0" applyNumberFormat="1" applyFill="1" applyBorder="1"/>
    <xf numFmtId="44" fontId="0" fillId="12" borderId="1" xfId="0" applyNumberFormat="1" applyFill="1" applyBorder="1"/>
    <xf numFmtId="0" fontId="40" fillId="14" borderId="53" xfId="0" applyFont="1" applyFill="1" applyBorder="1"/>
    <xf numFmtId="44" fontId="40" fillId="14" borderId="53" xfId="0" applyNumberFormat="1" applyFont="1" applyFill="1" applyBorder="1"/>
    <xf numFmtId="44" fontId="0" fillId="0" borderId="1" xfId="0" applyNumberFormat="1" applyBorder="1"/>
    <xf numFmtId="0" fontId="43" fillId="0" borderId="1" xfId="10" applyFont="1" applyBorder="1" applyAlignment="1">
      <alignment horizontal="left" vertical="center"/>
    </xf>
    <xf numFmtId="165" fontId="43" fillId="15" borderId="1" xfId="1" applyNumberFormat="1" applyFont="1" applyFill="1" applyBorder="1" applyAlignment="1">
      <alignment horizontal="center" vertical="center" wrapText="1"/>
    </xf>
    <xf numFmtId="0" fontId="43" fillId="15" borderId="1" xfId="10" applyFont="1" applyFill="1" applyBorder="1" applyAlignment="1">
      <alignment horizontal="center" vertical="center" wrapText="1"/>
    </xf>
    <xf numFmtId="0" fontId="44" fillId="15" borderId="1" xfId="10" applyFont="1" applyFill="1" applyBorder="1" applyAlignment="1">
      <alignment horizontal="center" vertical="center" wrapText="1"/>
    </xf>
    <xf numFmtId="167" fontId="44" fillId="15" borderId="1" xfId="10" quotePrefix="1" applyNumberFormat="1" applyFont="1" applyFill="1" applyBorder="1" applyAlignment="1">
      <alignment horizontal="center" vertical="center" wrapText="1"/>
    </xf>
    <xf numFmtId="43" fontId="43" fillId="15" borderId="1" xfId="1" applyFont="1" applyFill="1" applyBorder="1" applyAlignment="1">
      <alignment horizontal="center" vertical="center" wrapText="1"/>
    </xf>
    <xf numFmtId="0" fontId="43" fillId="16" borderId="1" xfId="10" applyFont="1" applyFill="1" applyBorder="1" applyAlignment="1">
      <alignment horizontal="left"/>
    </xf>
    <xf numFmtId="44" fontId="44" fillId="16" borderId="1" xfId="1" applyNumberFormat="1" applyFont="1" applyFill="1" applyBorder="1"/>
    <xf numFmtId="43" fontId="44" fillId="16" borderId="1" xfId="1" applyFont="1" applyFill="1" applyBorder="1"/>
    <xf numFmtId="44" fontId="20" fillId="0" borderId="1" xfId="1" applyNumberFormat="1" applyFont="1" applyBorder="1" applyAlignment="1">
      <alignment horizontal="right" indent="1"/>
    </xf>
    <xf numFmtId="44" fontId="45" fillId="0" borderId="1" xfId="1" applyNumberFormat="1" applyFont="1" applyBorder="1" applyAlignment="1">
      <alignment horizontal="right"/>
    </xf>
    <xf numFmtId="44" fontId="45" fillId="0" borderId="1" xfId="1" applyNumberFormat="1" applyFont="1" applyBorder="1"/>
    <xf numFmtId="44" fontId="45" fillId="0" borderId="1" xfId="1" applyNumberFormat="1" applyFont="1" applyFill="1" applyBorder="1"/>
    <xf numFmtId="43" fontId="43" fillId="0" borderId="1" xfId="1" applyFont="1" applyBorder="1" applyAlignment="1">
      <alignment wrapText="1"/>
    </xf>
    <xf numFmtId="43" fontId="45" fillId="0" borderId="1" xfId="1" applyFont="1" applyBorder="1"/>
    <xf numFmtId="0" fontId="11" fillId="0" borderId="1" xfId="0" applyFont="1" applyBorder="1"/>
    <xf numFmtId="0" fontId="43" fillId="9" borderId="1" xfId="10" applyFont="1" applyFill="1" applyBorder="1" applyAlignment="1">
      <alignment horizontal="left"/>
    </xf>
    <xf numFmtId="44" fontId="43" fillId="9" borderId="1" xfId="1" applyNumberFormat="1" applyFont="1" applyFill="1" applyBorder="1" applyAlignment="1">
      <alignment horizontal="left"/>
    </xf>
    <xf numFmtId="44" fontId="20" fillId="0" borderId="1" xfId="1" applyNumberFormat="1" applyFont="1" applyBorder="1" applyAlignment="1">
      <alignment horizontal="left" indent="1"/>
    </xf>
    <xf numFmtId="0" fontId="20" fillId="0" borderId="1" xfId="10" applyFont="1" applyBorder="1" applyAlignment="1">
      <alignment horizontal="left" indent="1"/>
    </xf>
    <xf numFmtId="0" fontId="43" fillId="17" borderId="55" xfId="0" applyFont="1" applyFill="1" applyBorder="1" applyAlignment="1">
      <alignment horizontal="center"/>
    </xf>
    <xf numFmtId="14" fontId="43" fillId="0" borderId="57" xfId="0" applyNumberFormat="1" applyFont="1" applyBorder="1" applyAlignment="1">
      <alignment vertical="center" wrapText="1"/>
    </xf>
    <xf numFmtId="0" fontId="43" fillId="0" borderId="1" xfId="10" applyFont="1" applyBorder="1" applyAlignment="1">
      <alignment horizontal="left"/>
    </xf>
    <xf numFmtId="0" fontId="44" fillId="0" borderId="1" xfId="10" applyFont="1" applyBorder="1" applyAlignment="1">
      <alignment horizontal="center" wrapText="1"/>
    </xf>
    <xf numFmtId="0" fontId="43" fillId="17" borderId="58" xfId="0" applyFont="1" applyFill="1" applyBorder="1" applyAlignment="1">
      <alignment horizontal="center"/>
    </xf>
    <xf numFmtId="14" fontId="43" fillId="0" borderId="60" xfId="0" applyNumberFormat="1" applyFont="1" applyBorder="1" applyAlignment="1">
      <alignment vertical="center" wrapText="1"/>
    </xf>
    <xf numFmtId="3" fontId="45" fillId="0" borderId="1" xfId="10" applyNumberFormat="1" applyFont="1" applyBorder="1"/>
    <xf numFmtId="0" fontId="43" fillId="17" borderId="61" xfId="0" applyFont="1" applyFill="1" applyBorder="1" applyAlignment="1">
      <alignment horizontal="center" vertical="top"/>
    </xf>
    <xf numFmtId="43" fontId="43" fillId="17" borderId="62" xfId="1" applyFont="1" applyFill="1" applyBorder="1" applyAlignment="1">
      <alignment vertical="center"/>
    </xf>
    <xf numFmtId="43" fontId="43" fillId="18" borderId="63" xfId="1" applyFont="1" applyFill="1" applyBorder="1" applyAlignment="1">
      <alignment vertical="center"/>
    </xf>
    <xf numFmtId="0" fontId="43" fillId="19" borderId="1" xfId="10" applyFont="1" applyFill="1" applyBorder="1" applyAlignment="1">
      <alignment horizontal="left"/>
    </xf>
    <xf numFmtId="44" fontId="45" fillId="19" borderId="1" xfId="10" applyNumberFormat="1" applyFont="1" applyFill="1" applyBorder="1"/>
    <xf numFmtId="0" fontId="43" fillId="0" borderId="64" xfId="0" applyFont="1" applyBorder="1"/>
    <xf numFmtId="43" fontId="43" fillId="18" borderId="65" xfId="1" applyFont="1" applyFill="1" applyBorder="1"/>
    <xf numFmtId="43" fontId="43" fillId="18" borderId="60" xfId="1" applyFont="1" applyFill="1" applyBorder="1" applyAlignment="1">
      <alignment vertical="center"/>
    </xf>
    <xf numFmtId="0" fontId="43" fillId="19" borderId="1" xfId="10" applyFont="1" applyFill="1" applyBorder="1" applyAlignment="1">
      <alignment horizontal="left" wrapText="1"/>
    </xf>
    <xf numFmtId="0" fontId="20" fillId="0" borderId="64" xfId="0" applyFont="1" applyBorder="1"/>
    <xf numFmtId="43" fontId="43" fillId="17" borderId="66" xfId="1" applyFont="1" applyFill="1" applyBorder="1"/>
    <xf numFmtId="43" fontId="43" fillId="17" borderId="65" xfId="1" applyFont="1" applyFill="1" applyBorder="1"/>
    <xf numFmtId="44" fontId="20" fillId="0" borderId="1" xfId="10" applyNumberFormat="1" applyFont="1" applyBorder="1" applyAlignment="1">
      <alignment horizontal="left" indent="1"/>
    </xf>
    <xf numFmtId="44" fontId="44" fillId="0" borderId="1" xfId="10" applyNumberFormat="1" applyFont="1" applyBorder="1"/>
    <xf numFmtId="0" fontId="43" fillId="20" borderId="1" xfId="10" applyFont="1" applyFill="1" applyBorder="1" applyAlignment="1">
      <alignment horizontal="left"/>
    </xf>
    <xf numFmtId="44" fontId="44" fillId="20" borderId="1" xfId="10" applyNumberFormat="1" applyFont="1" applyFill="1" applyBorder="1"/>
    <xf numFmtId="43" fontId="20" fillId="17" borderId="65" xfId="1" applyFont="1" applyFill="1" applyBorder="1" applyAlignment="1">
      <alignment horizontal="center" vertical="center"/>
    </xf>
    <xf numFmtId="0" fontId="20" fillId="20" borderId="1" xfId="10" applyFont="1" applyFill="1" applyBorder="1" applyAlignment="1">
      <alignment horizontal="left" indent="1"/>
    </xf>
    <xf numFmtId="44" fontId="20" fillId="20" borderId="1" xfId="10" applyNumberFormat="1" applyFont="1" applyFill="1" applyBorder="1" applyAlignment="1">
      <alignment horizontal="left" indent="1"/>
    </xf>
    <xf numFmtId="9" fontId="44" fillId="20" borderId="1" xfId="7" applyFont="1" applyFill="1" applyBorder="1" applyAlignment="1">
      <alignment horizontal="right"/>
    </xf>
    <xf numFmtId="43" fontId="20" fillId="17" borderId="65" xfId="1" applyFont="1" applyFill="1" applyBorder="1"/>
    <xf numFmtId="0" fontId="20" fillId="19" borderId="1" xfId="10" applyFont="1" applyFill="1" applyBorder="1" applyAlignment="1">
      <alignment horizontal="left" indent="1"/>
    </xf>
    <xf numFmtId="44" fontId="20" fillId="19" borderId="1" xfId="10" applyNumberFormat="1" applyFont="1" applyFill="1" applyBorder="1" applyAlignment="1">
      <alignment horizontal="left" indent="1"/>
    </xf>
    <xf numFmtId="44" fontId="43" fillId="19" borderId="1" xfId="10" applyNumberFormat="1" applyFont="1" applyFill="1" applyBorder="1" applyAlignment="1">
      <alignment horizontal="left"/>
    </xf>
    <xf numFmtId="43" fontId="20" fillId="17" borderId="68" xfId="1" applyFont="1" applyFill="1" applyBorder="1"/>
    <xf numFmtId="44" fontId="43" fillId="20" borderId="1" xfId="10" applyNumberFormat="1" applyFont="1" applyFill="1" applyBorder="1" applyAlignment="1">
      <alignment horizontal="left"/>
    </xf>
    <xf numFmtId="0" fontId="0" fillId="2" borderId="0" xfId="0" applyFill="1"/>
    <xf numFmtId="0" fontId="21" fillId="0" borderId="0" xfId="0" applyFont="1" applyAlignment="1">
      <alignment horizontal="center"/>
    </xf>
    <xf numFmtId="14" fontId="21" fillId="0" borderId="0" xfId="0" applyNumberFormat="1" applyFont="1"/>
    <xf numFmtId="10" fontId="22" fillId="11" borderId="48" xfId="0" applyNumberFormat="1" applyFont="1" applyFill="1" applyBorder="1" applyAlignment="1">
      <alignment horizontal="right" vertical="center"/>
    </xf>
    <xf numFmtId="0" fontId="46" fillId="0" borderId="0" xfId="0" applyFont="1"/>
    <xf numFmtId="0" fontId="46" fillId="0" borderId="0" xfId="0" applyFont="1" applyAlignment="1">
      <alignment wrapText="1"/>
    </xf>
    <xf numFmtId="0" fontId="47" fillId="0" borderId="0" xfId="0" applyFont="1"/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/>
    </xf>
    <xf numFmtId="10" fontId="46" fillId="0" borderId="0" xfId="0" applyNumberFormat="1" applyFont="1"/>
    <xf numFmtId="0" fontId="46" fillId="0" borderId="1" xfId="0" applyFont="1" applyBorder="1" applyAlignment="1">
      <alignment wrapText="1"/>
    </xf>
    <xf numFmtId="0" fontId="46" fillId="21" borderId="1" xfId="0" applyFont="1" applyFill="1" applyBorder="1" applyAlignment="1">
      <alignment wrapText="1"/>
    </xf>
    <xf numFmtId="3" fontId="46" fillId="0" borderId="0" xfId="0" applyNumberFormat="1" applyFont="1"/>
    <xf numFmtId="3" fontId="7" fillId="22" borderId="70" xfId="0" applyNumberFormat="1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vertical="center"/>
    </xf>
    <xf numFmtId="0" fontId="46" fillId="23" borderId="1" xfId="0" applyFont="1" applyFill="1" applyBorder="1" applyAlignment="1">
      <alignment wrapText="1"/>
    </xf>
    <xf numFmtId="3" fontId="7" fillId="24" borderId="70" xfId="0" applyNumberFormat="1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horizontal="left" vertic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1" xfId="0" applyFont="1" applyBorder="1" applyAlignment="1">
      <alignment wrapText="1"/>
    </xf>
    <xf numFmtId="0" fontId="48" fillId="0" borderId="0" xfId="0" applyFont="1" applyAlignment="1">
      <alignment horizontal="center" wrapText="1"/>
    </xf>
    <xf numFmtId="0" fontId="51" fillId="0" borderId="0" xfId="0" applyFont="1" applyAlignment="1">
      <alignment horizontal="left" vertical="center" indent="2"/>
    </xf>
    <xf numFmtId="0" fontId="53" fillId="0" borderId="0" xfId="0" applyFont="1"/>
    <xf numFmtId="0" fontId="21" fillId="0" borderId="0" xfId="0" applyFont="1" applyAlignment="1">
      <alignment vertical="top"/>
    </xf>
    <xf numFmtId="0" fontId="46" fillId="10" borderId="0" xfId="0" applyFont="1" applyFill="1"/>
    <xf numFmtId="0" fontId="55" fillId="0" borderId="0" xfId="0" applyFont="1"/>
    <xf numFmtId="3" fontId="7" fillId="10" borderId="0" xfId="0" applyNumberFormat="1" applyFont="1" applyFill="1" applyAlignment="1" applyProtection="1">
      <alignment horizontal="center"/>
      <protection locked="0"/>
    </xf>
    <xf numFmtId="44" fontId="23" fillId="0" borderId="0" xfId="3" applyFont="1" applyFill="1" applyBorder="1"/>
    <xf numFmtId="44" fontId="21" fillId="0" borderId="4" xfId="3" applyFont="1" applyFill="1" applyBorder="1"/>
    <xf numFmtId="0" fontId="4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59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right"/>
    </xf>
    <xf numFmtId="164" fontId="59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0" fillId="0" borderId="0" xfId="0" applyAlignment="1">
      <alignment horizontal="left" vertical="top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3" fillId="0" borderId="2" xfId="0" applyNumberFormat="1" applyFont="1" applyBorder="1"/>
    <xf numFmtId="164" fontId="58" fillId="0" borderId="2" xfId="0" applyNumberFormat="1" applyFont="1" applyBorder="1"/>
    <xf numFmtId="164" fontId="60" fillId="0" borderId="2" xfId="0" applyNumberFormat="1" applyFont="1" applyBorder="1"/>
    <xf numFmtId="164" fontId="58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16" fontId="22" fillId="0" borderId="0" xfId="0" applyNumberFormat="1" applyFont="1"/>
    <xf numFmtId="14" fontId="4" fillId="0" borderId="0" xfId="0" applyNumberFormat="1" applyFont="1"/>
    <xf numFmtId="4" fontId="59" fillId="0" borderId="0" xfId="0" applyNumberFormat="1" applyFont="1"/>
    <xf numFmtId="49" fontId="0" fillId="0" borderId="0" xfId="0" applyNumberFormat="1" applyAlignment="1">
      <alignment horizontal="left"/>
    </xf>
    <xf numFmtId="164" fontId="60" fillId="0" borderId="2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43" fontId="43" fillId="15" borderId="1" xfId="1" applyFont="1" applyFill="1" applyBorder="1" applyAlignment="1">
      <alignment vertical="center" wrapText="1"/>
    </xf>
    <xf numFmtId="43" fontId="43" fillId="16" borderId="1" xfId="1" applyFont="1" applyFill="1" applyBorder="1" applyAlignment="1">
      <alignment wrapText="1"/>
    </xf>
    <xf numFmtId="44" fontId="44" fillId="9" borderId="1" xfId="10" quotePrefix="1" applyNumberFormat="1" applyFont="1" applyFill="1" applyBorder="1" applyAlignment="1">
      <alignment wrapText="1"/>
    </xf>
    <xf numFmtId="0" fontId="45" fillId="0" borderId="1" xfId="10" applyFont="1" applyBorder="1" applyAlignment="1">
      <alignment wrapText="1"/>
    </xf>
    <xf numFmtId="44" fontId="45" fillId="0" borderId="1" xfId="10" applyNumberFormat="1" applyFont="1" applyBorder="1"/>
    <xf numFmtId="43" fontId="20" fillId="0" borderId="1" xfId="1" applyFont="1" applyBorder="1" applyAlignment="1">
      <alignment wrapText="1"/>
    </xf>
    <xf numFmtId="43" fontId="57" fillId="0" borderId="1" xfId="1" applyFont="1" applyBorder="1" applyAlignment="1">
      <alignment wrapText="1"/>
    </xf>
    <xf numFmtId="0" fontId="45" fillId="0" borderId="1" xfId="10" applyFont="1" applyBorder="1"/>
    <xf numFmtId="44" fontId="45" fillId="0" borderId="1" xfId="1" applyNumberFormat="1" applyFont="1" applyFill="1" applyBorder="1" applyAlignment="1">
      <alignment vertical="center"/>
    </xf>
    <xf numFmtId="44" fontId="45" fillId="0" borderId="1" xfId="1" applyNumberFormat="1" applyFont="1" applyBorder="1" applyAlignment="1">
      <alignment vertical="center"/>
    </xf>
    <xf numFmtId="43" fontId="0" fillId="0" borderId="60" xfId="1" applyFont="1" applyBorder="1"/>
    <xf numFmtId="0" fontId="0" fillId="0" borderId="64" xfId="0" applyBorder="1"/>
    <xf numFmtId="43" fontId="0" fillId="0" borderId="60" xfId="1" applyFont="1" applyFill="1" applyBorder="1" applyAlignment="1">
      <alignment wrapText="1"/>
    </xf>
    <xf numFmtId="9" fontId="44" fillId="20" borderId="1" xfId="11" applyFont="1" applyFill="1" applyBorder="1"/>
    <xf numFmtId="44" fontId="45" fillId="0" borderId="1" xfId="11" applyNumberFormat="1" applyFont="1" applyFill="1" applyBorder="1" applyAlignment="1">
      <alignment horizontal="right"/>
    </xf>
    <xf numFmtId="44" fontId="45" fillId="19" borderId="1" xfId="11" applyNumberFormat="1" applyFont="1" applyFill="1" applyBorder="1" applyAlignment="1">
      <alignment horizontal="right"/>
    </xf>
    <xf numFmtId="0" fontId="0" fillId="0" borderId="67" xfId="0" applyBorder="1"/>
    <xf numFmtId="43" fontId="0" fillId="0" borderId="69" xfId="1" applyFont="1" applyBorder="1"/>
    <xf numFmtId="2" fontId="45" fillId="0" borderId="1" xfId="11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>
      <alignment horizontal="center"/>
    </xf>
    <xf numFmtId="0" fontId="15" fillId="0" borderId="0" xfId="3" applyNumberFormat="1" applyFont="1" applyFill="1" applyBorder="1" applyAlignment="1">
      <alignment horizontal="center"/>
    </xf>
    <xf numFmtId="44" fontId="18" fillId="0" borderId="0" xfId="3" applyFont="1" applyFill="1" applyBorder="1" applyAlignment="1">
      <alignment horizontal="left"/>
    </xf>
    <xf numFmtId="164" fontId="14" fillId="0" borderId="0" xfId="4" applyNumberFormat="1" applyFont="1" applyAlignment="1">
      <alignment horizontal="center"/>
    </xf>
    <xf numFmtId="7" fontId="16" fillId="0" borderId="2" xfId="3" applyNumberFormat="1" applyFont="1" applyFill="1" applyBorder="1" applyAlignment="1">
      <alignment horizontal="center"/>
    </xf>
    <xf numFmtId="164" fontId="17" fillId="0" borderId="2" xfId="3" applyNumberFormat="1" applyFont="1" applyFill="1" applyBorder="1" applyAlignment="1">
      <alignment horizontal="right"/>
    </xf>
    <xf numFmtId="164" fontId="16" fillId="0" borderId="0" xfId="4" applyNumberFormat="1" applyFont="1" applyAlignment="1">
      <alignment horizontal="center"/>
    </xf>
    <xf numFmtId="44" fontId="14" fillId="0" borderId="0" xfId="3" applyFont="1" applyFill="1" applyBorder="1" applyAlignment="1">
      <alignment horizontal="left"/>
    </xf>
    <xf numFmtId="164" fontId="13" fillId="0" borderId="2" xfId="3" applyNumberFormat="1" applyFont="1" applyFill="1" applyBorder="1" applyAlignment="1">
      <alignment horizontal="left"/>
    </xf>
    <xf numFmtId="164" fontId="18" fillId="0" borderId="2" xfId="3" applyNumberFormat="1" applyFont="1" applyFill="1" applyBorder="1" applyAlignment="1">
      <alignment horizontal="right"/>
    </xf>
    <xf numFmtId="44" fontId="18" fillId="0" borderId="2" xfId="3" applyFont="1" applyFill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44" fontId="0" fillId="2" borderId="0" xfId="0" applyNumberFormat="1" applyFill="1"/>
    <xf numFmtId="0" fontId="12" fillId="2" borderId="1" xfId="0" applyFont="1" applyFill="1" applyBorder="1" applyAlignment="1">
      <alignment horizontal="center"/>
    </xf>
    <xf numFmtId="0" fontId="39" fillId="14" borderId="53" xfId="0" applyFont="1" applyFill="1" applyBorder="1"/>
    <xf numFmtId="44" fontId="39" fillId="14" borderId="53" xfId="0" applyNumberFormat="1" applyFont="1" applyFill="1" applyBorder="1"/>
    <xf numFmtId="0" fontId="0" fillId="0" borderId="36" xfId="0" applyBorder="1"/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2" borderId="48" xfId="0" applyFill="1" applyBorder="1" applyAlignment="1">
      <alignment horizontal="right" vertical="center"/>
    </xf>
    <xf numFmtId="4" fontId="25" fillId="7" borderId="0" xfId="8" applyNumberFormat="1" applyFont="1" applyFill="1" applyBorder="1" applyAlignment="1">
      <alignment horizontal="right"/>
    </xf>
    <xf numFmtId="10" fontId="22" fillId="11" borderId="49" xfId="0" applyNumberFormat="1" applyFont="1" applyFill="1" applyBorder="1" applyAlignment="1">
      <alignment horizontal="right" vertical="center"/>
    </xf>
    <xf numFmtId="4" fontId="22" fillId="6" borderId="73" xfId="0" applyNumberFormat="1" applyFont="1" applyFill="1" applyBorder="1" applyAlignment="1">
      <alignment horizontal="right"/>
    </xf>
    <xf numFmtId="4" fontId="25" fillId="4" borderId="39" xfId="8" applyNumberFormat="1" applyFont="1" applyBorder="1" applyAlignment="1">
      <alignment horizontal="right"/>
    </xf>
    <xf numFmtId="4" fontId="22" fillId="6" borderId="0" xfId="0" applyNumberFormat="1" applyFont="1" applyFill="1" applyAlignment="1">
      <alignment horizontal="right"/>
    </xf>
    <xf numFmtId="4" fontId="25" fillId="7" borderId="20" xfId="8" applyNumberFormat="1" applyFont="1" applyFill="1" applyBorder="1" applyAlignment="1">
      <alignment horizontal="right"/>
    </xf>
    <xf numFmtId="4" fontId="25" fillId="7" borderId="74" xfId="8" applyNumberFormat="1" applyFont="1" applyFill="1" applyBorder="1" applyAlignment="1">
      <alignment horizontal="right"/>
    </xf>
    <xf numFmtId="0" fontId="22" fillId="11" borderId="48" xfId="0" applyFont="1" applyFill="1" applyBorder="1" applyAlignment="1">
      <alignment horizontal="right" vertical="center"/>
    </xf>
    <xf numFmtId="4" fontId="32" fillId="6" borderId="23" xfId="0" applyNumberFormat="1" applyFont="1" applyFill="1" applyBorder="1" applyAlignment="1">
      <alignment horizontal="right"/>
    </xf>
    <xf numFmtId="4" fontId="28" fillId="7" borderId="0" xfId="0" applyNumberFormat="1" applyFont="1" applyFill="1"/>
    <xf numFmtId="10" fontId="25" fillId="11" borderId="49" xfId="0" applyNumberFormat="1" applyFont="1" applyFill="1" applyBorder="1" applyAlignment="1">
      <alignment horizontal="right" vertical="center"/>
    </xf>
    <xf numFmtId="4" fontId="32" fillId="6" borderId="14" xfId="0" applyNumberFormat="1" applyFont="1" applyFill="1" applyBorder="1" applyAlignment="1">
      <alignment horizontal="right"/>
    </xf>
    <xf numFmtId="4" fontId="32" fillId="6" borderId="14" xfId="0" applyNumberFormat="1" applyFont="1" applyFill="1" applyBorder="1" applyAlignment="1">
      <alignment horizontal="right" vertical="center" wrapText="1"/>
    </xf>
    <xf numFmtId="4" fontId="28" fillId="7" borderId="0" xfId="0" applyNumberFormat="1" applyFont="1" applyFill="1" applyAlignment="1">
      <alignment vertical="center" wrapText="1"/>
    </xf>
    <xf numFmtId="4" fontId="22" fillId="0" borderId="11" xfId="0" applyNumberFormat="1" applyFont="1" applyBorder="1"/>
    <xf numFmtId="4" fontId="32" fillId="6" borderId="14" xfId="0" applyNumberFormat="1" applyFont="1" applyFill="1" applyBorder="1"/>
    <xf numFmtId="2" fontId="28" fillId="7" borderId="0" xfId="0" applyNumberFormat="1" applyFont="1" applyFill="1"/>
    <xf numFmtId="4" fontId="32" fillId="8" borderId="14" xfId="0" applyNumberFormat="1" applyFont="1" applyFill="1" applyBorder="1" applyAlignment="1">
      <alignment horizontal="right"/>
    </xf>
    <xf numFmtId="4" fontId="32" fillId="4" borderId="41" xfId="8" applyNumberFormat="1" applyFont="1" applyBorder="1" applyAlignment="1">
      <alignment horizontal="right"/>
    </xf>
    <xf numFmtId="4" fontId="32" fillId="6" borderId="27" xfId="0" applyNumberFormat="1" applyFont="1" applyFill="1" applyBorder="1" applyAlignment="1">
      <alignment horizontal="right"/>
    </xf>
    <xf numFmtId="4" fontId="33" fillId="7" borderId="34" xfId="8" applyNumberFormat="1" applyFont="1" applyFill="1" applyBorder="1" applyAlignment="1">
      <alignment horizontal="right"/>
    </xf>
    <xf numFmtId="4" fontId="29" fillId="6" borderId="28" xfId="0" applyNumberFormat="1" applyFont="1" applyFill="1" applyBorder="1" applyAlignment="1">
      <alignment horizontal="right"/>
    </xf>
    <xf numFmtId="4" fontId="29" fillId="7" borderId="29" xfId="8" applyNumberFormat="1" applyFont="1" applyFill="1" applyBorder="1" applyAlignment="1">
      <alignment horizontal="right"/>
    </xf>
    <xf numFmtId="0" fontId="0" fillId="0" borderId="48" xfId="0" applyBorder="1" applyAlignment="1">
      <alignment horizontal="right" vertical="center"/>
    </xf>
    <xf numFmtId="0" fontId="20" fillId="2" borderId="48" xfId="0" applyFont="1" applyFill="1" applyBorder="1" applyAlignment="1">
      <alignment horizontal="right" vertical="center"/>
    </xf>
    <xf numFmtId="0" fontId="22" fillId="0" borderId="9" xfId="0" applyFont="1" applyBorder="1" applyAlignment="1">
      <alignment horizontal="right"/>
    </xf>
    <xf numFmtId="4" fontId="22" fillId="0" borderId="45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4" fontId="30" fillId="0" borderId="51" xfId="0" applyNumberFormat="1" applyFont="1" applyBorder="1" applyAlignment="1">
      <alignment horizontal="right"/>
    </xf>
    <xf numFmtId="0" fontId="0" fillId="2" borderId="50" xfId="0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2" fillId="0" borderId="8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0" fillId="0" borderId="1" xfId="1" applyNumberFormat="1" applyFont="1" applyBorder="1" applyAlignment="1">
      <alignment horizontal="left" vertical="top" wrapText="1"/>
    </xf>
    <xf numFmtId="0" fontId="57" fillId="0" borderId="64" xfId="0" applyFont="1" applyBorder="1"/>
    <xf numFmtId="4" fontId="25" fillId="4" borderId="38" xfId="8" applyNumberFormat="1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4" fontId="22" fillId="6" borderId="14" xfId="0" applyNumberFormat="1" applyFont="1" applyFill="1" applyBorder="1" applyAlignment="1">
      <alignment horizontal="right" vertical="center"/>
    </xf>
    <xf numFmtId="4" fontId="22" fillId="0" borderId="10" xfId="0" applyNumberFormat="1" applyFont="1" applyBorder="1" applyAlignment="1">
      <alignment horizontal="right" vertical="center"/>
    </xf>
    <xf numFmtId="0" fontId="28" fillId="0" borderId="22" xfId="0" applyFont="1" applyBorder="1" applyAlignment="1">
      <alignment vertical="center" wrapText="1"/>
    </xf>
    <xf numFmtId="4" fontId="25" fillId="7" borderId="15" xfId="8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14" borderId="53" xfId="0" applyFill="1" applyBorder="1"/>
    <xf numFmtId="44" fontId="0" fillId="14" borderId="53" xfId="0" applyNumberFormat="1" applyFill="1" applyBorder="1"/>
    <xf numFmtId="44" fontId="0" fillId="0" borderId="53" xfId="0" applyNumberFormat="1" applyBorder="1"/>
    <xf numFmtId="0" fontId="22" fillId="13" borderId="11" xfId="0" applyFont="1" applyFill="1" applyBorder="1" applyAlignment="1">
      <alignment vertical="center" wrapText="1"/>
    </xf>
    <xf numFmtId="0" fontId="27" fillId="0" borderId="3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4" fontId="25" fillId="11" borderId="71" xfId="8" applyNumberFormat="1" applyFont="1" applyFill="1" applyBorder="1" applyAlignment="1">
      <alignment horizontal="center" vertical="top" wrapText="1"/>
    </xf>
    <xf numFmtId="4" fontId="25" fillId="11" borderId="48" xfId="8" applyNumberFormat="1" applyFont="1" applyFill="1" applyBorder="1" applyAlignment="1">
      <alignment horizontal="center" vertical="top" wrapText="1"/>
    </xf>
    <xf numFmtId="4" fontId="25" fillId="11" borderId="72" xfId="8" applyNumberFormat="1" applyFont="1" applyFill="1" applyBorder="1" applyAlignment="1">
      <alignment horizontal="center" vertical="top" wrapText="1"/>
    </xf>
    <xf numFmtId="0" fontId="42" fillId="2" borderId="0" xfId="0" applyFont="1" applyFill="1" applyAlignment="1">
      <alignment horizontal="center"/>
    </xf>
    <xf numFmtId="0" fontId="41" fillId="7" borderId="46" xfId="0" applyFont="1" applyFill="1" applyBorder="1" applyAlignment="1">
      <alignment horizontal="left"/>
    </xf>
    <xf numFmtId="0" fontId="41" fillId="7" borderId="51" xfId="0" applyFont="1" applyFill="1" applyBorder="1" applyAlignment="1">
      <alignment horizontal="left"/>
    </xf>
    <xf numFmtId="0" fontId="41" fillId="12" borderId="46" xfId="0" applyFont="1" applyFill="1" applyBorder="1" applyAlignment="1">
      <alignment horizontal="left"/>
    </xf>
    <xf numFmtId="0" fontId="41" fillId="12" borderId="51" xfId="0" applyFont="1" applyFill="1" applyBorder="1" applyAlignment="1">
      <alignment horizontal="left"/>
    </xf>
    <xf numFmtId="0" fontId="41" fillId="12" borderId="52" xfId="0" applyFont="1" applyFill="1" applyBorder="1" applyAlignment="1">
      <alignment horizontal="left"/>
    </xf>
    <xf numFmtId="0" fontId="41" fillId="14" borderId="46" xfId="0" applyFont="1" applyFill="1" applyBorder="1" applyAlignment="1">
      <alignment horizontal="left"/>
    </xf>
    <xf numFmtId="0" fontId="41" fillId="14" borderId="51" xfId="0" applyFont="1" applyFill="1" applyBorder="1" applyAlignment="1">
      <alignment horizontal="left"/>
    </xf>
    <xf numFmtId="0" fontId="41" fillId="14" borderId="5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13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wrapText="1"/>
    </xf>
    <xf numFmtId="0" fontId="46" fillId="0" borderId="54" xfId="0" applyFont="1" applyBorder="1" applyAlignment="1">
      <alignment wrapText="1"/>
    </xf>
    <xf numFmtId="49" fontId="9" fillId="3" borderId="0" xfId="6" applyNumberFormat="1" applyFont="1" applyFill="1" applyAlignment="1">
      <alignment horizontal="center" vertical="top" wrapText="1"/>
    </xf>
    <xf numFmtId="14" fontId="9" fillId="0" borderId="0" xfId="6" applyNumberFormat="1" applyFont="1" applyAlignment="1">
      <alignment horizontal="center" wrapText="1"/>
    </xf>
    <xf numFmtId="0" fontId="43" fillId="17" borderId="56" xfId="0" applyFont="1" applyFill="1" applyBorder="1" applyAlignment="1">
      <alignment horizontal="center" vertical="center" wrapText="1"/>
    </xf>
    <xf numFmtId="0" fontId="43" fillId="17" borderId="59" xfId="0" applyFont="1" applyFill="1" applyBorder="1" applyAlignment="1">
      <alignment horizontal="center" vertical="center" wrapText="1"/>
    </xf>
    <xf numFmtId="0" fontId="44" fillId="0" borderId="46" xfId="10" applyFont="1" applyBorder="1" applyAlignment="1">
      <alignment horizontal="center" wrapText="1"/>
    </xf>
    <xf numFmtId="0" fontId="44" fillId="0" borderId="51" xfId="10" applyFont="1" applyBorder="1" applyAlignment="1">
      <alignment horizontal="center" wrapText="1"/>
    </xf>
    <xf numFmtId="0" fontId="44" fillId="0" borderId="52" xfId="1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12">
    <cellStyle name="Comma" xfId="1" builtinId="3"/>
    <cellStyle name="Comma 3" xfId="2" xr:uid="{00000000-0005-0000-0000-000001000000}"/>
    <cellStyle name="Currency" xfId="3" builtinId="4"/>
    <cellStyle name="Good" xfId="8" builtinId="26"/>
    <cellStyle name="Hyperlink" xfId="9" builtinId="8"/>
    <cellStyle name="Normal" xfId="0" builtinId="0"/>
    <cellStyle name="Normal 2" xfId="4" xr:uid="{00000000-0005-0000-0000-000004000000}"/>
    <cellStyle name="Normal 3" xfId="5" xr:uid="{00000000-0005-0000-0000-000005000000}"/>
    <cellStyle name="Normal_Master Copy Scole Parish Council Accounts" xfId="6" xr:uid="{00000000-0005-0000-0000-000006000000}"/>
    <cellStyle name="Normal_Proposed Budget 2011-12" xfId="10" xr:uid="{1FFCBB25-F040-4355-89B2-CDAB4AD2C195}"/>
    <cellStyle name="Per cent" xfId="7" builtinId="5"/>
    <cellStyle name="Percent 2" xfId="11" xr:uid="{D3C99E36-9B06-4AC2-8AE5-BCFECFD0DC77}"/>
  </cellStyles>
  <dxfs count="20">
    <dxf>
      <font>
        <color rgb="FFC00000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ont>
        <color rgb="FFC0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lotte Rust Claxton Parish Council" id="{324977CC-6F5C-4E35-B70F-B291911DCF69}" userId="a83eac6ce868353a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3" dT="2025-04-25T11:26:11.34" personId="{324977CC-6F5C-4E35-B70F-B291911DCF69}" id="{D7264BB8-086F-47E2-A539-D714FBD2BD58}">
    <text>Lost receipt. Spoke with Post Office and unable to trace payment for duplicate receipt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5A28-BCC8-4B14-B0AA-F596FFCA676D}">
  <dimension ref="A1:J59"/>
  <sheetViews>
    <sheetView topLeftCell="A21" zoomScale="90" zoomScaleNormal="90" workbookViewId="0">
      <selection activeCell="C23" sqref="C23"/>
    </sheetView>
  </sheetViews>
  <sheetFormatPr defaultColWidth="8.7109375" defaultRowHeight="15" x14ac:dyDescent="0.25"/>
  <cols>
    <col min="1" max="1" width="13.85546875" customWidth="1"/>
    <col min="2" max="2" width="0.85546875" customWidth="1"/>
    <col min="3" max="3" width="28.140625" customWidth="1"/>
    <col min="4" max="4" width="0.85546875" customWidth="1"/>
    <col min="5" max="5" width="15.42578125" customWidth="1"/>
    <col min="6" max="6" width="0.85546875" customWidth="1"/>
    <col min="7" max="7" width="30" customWidth="1"/>
    <col min="8" max="8" width="0.85546875" customWidth="1"/>
    <col min="9" max="9" width="17.140625" customWidth="1"/>
    <col min="10" max="10" width="18.85546875" style="346" customWidth="1"/>
  </cols>
  <sheetData>
    <row r="1" spans="1:10" ht="23.25" x14ac:dyDescent="0.35">
      <c r="A1" s="364" t="s">
        <v>215</v>
      </c>
      <c r="B1" s="365"/>
      <c r="C1" s="365"/>
      <c r="D1" s="365"/>
      <c r="E1" s="365"/>
      <c r="F1" s="365"/>
      <c r="G1" s="365"/>
      <c r="H1" s="365"/>
      <c r="I1" s="365"/>
      <c r="J1" s="366"/>
    </row>
    <row r="2" spans="1:10" x14ac:dyDescent="0.25">
      <c r="A2" s="311"/>
      <c r="B2" s="312"/>
      <c r="C2" s="312"/>
      <c r="D2" s="312"/>
      <c r="E2" s="313"/>
      <c r="F2" s="312"/>
      <c r="G2" s="43"/>
      <c r="H2" s="312"/>
      <c r="I2" s="314"/>
      <c r="J2" s="315"/>
    </row>
    <row r="3" spans="1:10" ht="31.5" x14ac:dyDescent="0.25">
      <c r="A3" s="122" t="s">
        <v>44</v>
      </c>
      <c r="B3" s="44"/>
      <c r="C3" s="45" t="s">
        <v>45</v>
      </c>
      <c r="D3" s="46"/>
      <c r="E3" s="47" t="s">
        <v>46</v>
      </c>
      <c r="F3" s="48"/>
      <c r="G3" s="49"/>
      <c r="H3" s="44"/>
      <c r="I3" s="50" t="s">
        <v>44</v>
      </c>
      <c r="J3" s="367" t="s">
        <v>293</v>
      </c>
    </row>
    <row r="4" spans="1:10" ht="15.75" x14ac:dyDescent="0.25">
      <c r="A4" s="123">
        <v>45382</v>
      </c>
      <c r="B4" s="51"/>
      <c r="C4" s="52"/>
      <c r="D4" s="52"/>
      <c r="E4" s="53">
        <v>45747</v>
      </c>
      <c r="F4" s="54"/>
      <c r="G4" s="43"/>
      <c r="H4" s="51"/>
      <c r="I4" s="55">
        <f>SUM('Bank Recon'!B8)</f>
        <v>45747</v>
      </c>
      <c r="J4" s="368"/>
    </row>
    <row r="5" spans="1:10" ht="15.75" x14ac:dyDescent="0.25">
      <c r="A5" s="124" t="s">
        <v>47</v>
      </c>
      <c r="B5" s="56"/>
      <c r="C5" s="57" t="s">
        <v>48</v>
      </c>
      <c r="D5" s="58"/>
      <c r="E5" s="59" t="s">
        <v>47</v>
      </c>
      <c r="F5" s="60"/>
      <c r="G5" s="61" t="s">
        <v>49</v>
      </c>
      <c r="H5" s="56"/>
      <c r="I5" s="62" t="s">
        <v>47</v>
      </c>
      <c r="J5" s="369"/>
    </row>
    <row r="6" spans="1:10" ht="15.75" x14ac:dyDescent="0.25">
      <c r="A6" s="125">
        <v>5400</v>
      </c>
      <c r="B6" s="63"/>
      <c r="C6" s="64" t="s">
        <v>5</v>
      </c>
      <c r="D6" s="64"/>
      <c r="E6" s="65">
        <v>7000</v>
      </c>
      <c r="F6" s="66"/>
      <c r="G6" s="67"/>
      <c r="H6" s="64"/>
      <c r="I6" s="316" t="e">
        <f>SUM('Bank Account'!#REF!)</f>
        <v>#REF!</v>
      </c>
      <c r="J6" s="317" t="e">
        <f>I6/E6</f>
        <v>#REF!</v>
      </c>
    </row>
    <row r="7" spans="1:10" ht="15.75" x14ac:dyDescent="0.25">
      <c r="A7" s="127">
        <v>0</v>
      </c>
      <c r="B7" s="63"/>
      <c r="C7" s="64" t="s">
        <v>197</v>
      </c>
      <c r="D7" s="64"/>
      <c r="E7" s="112">
        <v>100</v>
      </c>
      <c r="F7" s="66"/>
      <c r="G7" s="67"/>
      <c r="H7" s="63"/>
      <c r="I7" s="113" t="e">
        <f>SUM('Bank Account'!#REF!)</f>
        <v>#REF!</v>
      </c>
      <c r="J7" s="218" t="e">
        <f t="shared" ref="J7:J15" si="0">I7/E7</f>
        <v>#REF!</v>
      </c>
    </row>
    <row r="8" spans="1:10" ht="15.75" x14ac:dyDescent="0.25">
      <c r="A8" s="126">
        <v>0</v>
      </c>
      <c r="B8" s="68"/>
      <c r="C8" s="69" t="s">
        <v>207</v>
      </c>
      <c r="D8" s="69"/>
      <c r="E8" s="70">
        <v>120</v>
      </c>
      <c r="F8" s="71"/>
      <c r="G8" s="67"/>
      <c r="H8" s="68"/>
      <c r="I8" s="113" t="e">
        <f>SUM('Bank Account'!#REF!)</f>
        <v>#REF!</v>
      </c>
      <c r="J8" s="218" t="e">
        <f t="shared" si="0"/>
        <v>#REF!</v>
      </c>
    </row>
    <row r="9" spans="1:10" s="359" customFormat="1" ht="31.5" x14ac:dyDescent="0.25">
      <c r="A9" s="352">
        <v>500</v>
      </c>
      <c r="B9" s="353"/>
      <c r="C9" s="354" t="s">
        <v>155</v>
      </c>
      <c r="D9" s="354"/>
      <c r="E9" s="355">
        <v>25</v>
      </c>
      <c r="F9" s="356"/>
      <c r="G9" s="357" t="s">
        <v>436</v>
      </c>
      <c r="H9" s="353"/>
      <c r="I9" s="358" t="e">
        <f>SUM('Bank Account'!#REF!)</f>
        <v>#REF!</v>
      </c>
      <c r="J9" s="218" t="e">
        <f t="shared" si="0"/>
        <v>#REF!</v>
      </c>
    </row>
    <row r="10" spans="1:10" ht="15.75" x14ac:dyDescent="0.25">
      <c r="A10" s="126">
        <v>31.6</v>
      </c>
      <c r="B10" s="68"/>
      <c r="C10" s="69" t="s">
        <v>199</v>
      </c>
      <c r="D10" s="69"/>
      <c r="E10" s="318">
        <v>30</v>
      </c>
      <c r="F10" s="71"/>
      <c r="G10" s="67"/>
      <c r="H10" s="68"/>
      <c r="I10" s="73" t="e">
        <f>SUM('Bank Account'!#REF!)</f>
        <v>#REF!</v>
      </c>
      <c r="J10" s="218" t="e">
        <f t="shared" si="0"/>
        <v>#REF!</v>
      </c>
    </row>
    <row r="11" spans="1:10" ht="15.75" x14ac:dyDescent="0.25">
      <c r="A11" s="319">
        <v>48.4</v>
      </c>
      <c r="B11" s="68"/>
      <c r="C11" s="69" t="s">
        <v>76</v>
      </c>
      <c r="D11" s="69"/>
      <c r="E11" s="320">
        <v>0</v>
      </c>
      <c r="F11" s="71"/>
      <c r="G11" s="67"/>
      <c r="H11" s="68"/>
      <c r="I11" s="321" t="e">
        <f>SUM('Bank Account'!#REF!)</f>
        <v>#REF!</v>
      </c>
      <c r="J11" s="218" t="e">
        <f t="shared" si="0"/>
        <v>#REF!</v>
      </c>
    </row>
    <row r="12" spans="1:10" ht="15.75" x14ac:dyDescent="0.25">
      <c r="A12" s="147">
        <v>0</v>
      </c>
      <c r="B12" s="68"/>
      <c r="C12" s="69" t="s">
        <v>116</v>
      </c>
      <c r="D12" s="69"/>
      <c r="E12" s="74">
        <v>0</v>
      </c>
      <c r="F12" s="71"/>
      <c r="G12" s="67" t="s">
        <v>6</v>
      </c>
      <c r="H12" s="68"/>
      <c r="I12" s="322" t="e">
        <f>SUM('Bank Account'!#REF!+Reserves!#REF!)</f>
        <v>#REF!</v>
      </c>
      <c r="J12" s="218" t="e">
        <f t="shared" si="0"/>
        <v>#REF!</v>
      </c>
    </row>
    <row r="13" spans="1:10" ht="15.75" x14ac:dyDescent="0.25">
      <c r="A13" s="147">
        <v>405.16</v>
      </c>
      <c r="B13" s="68"/>
      <c r="C13" s="69" t="s">
        <v>72</v>
      </c>
      <c r="D13" s="69"/>
      <c r="E13" s="74">
        <v>0</v>
      </c>
      <c r="F13" s="71"/>
      <c r="G13" s="67"/>
      <c r="H13" s="68"/>
      <c r="I13" s="322" t="e">
        <f>SUM('Bank Account'!#REF!)</f>
        <v>#REF!</v>
      </c>
      <c r="J13" s="218" t="e">
        <f t="shared" si="0"/>
        <v>#REF!</v>
      </c>
    </row>
    <row r="14" spans="1:10" ht="15.75" x14ac:dyDescent="0.25">
      <c r="A14" s="147"/>
      <c r="B14" s="68"/>
      <c r="C14" s="69" t="s">
        <v>40</v>
      </c>
      <c r="D14" s="69"/>
      <c r="E14" s="74">
        <v>0</v>
      </c>
      <c r="F14" s="71"/>
      <c r="G14" s="67"/>
      <c r="H14" s="68"/>
      <c r="I14" s="322" t="e">
        <f>SUM('Bank Account'!#REF!)</f>
        <v>#REF!</v>
      </c>
      <c r="J14" s="218" t="e">
        <f t="shared" si="0"/>
        <v>#REF!</v>
      </c>
    </row>
    <row r="15" spans="1:10" ht="15.75" x14ac:dyDescent="0.25">
      <c r="A15" s="147">
        <v>9923.3700000000008</v>
      </c>
      <c r="B15" s="68"/>
      <c r="C15" s="69" t="s">
        <v>196</v>
      </c>
      <c r="D15" s="69"/>
      <c r="E15" s="74">
        <v>0</v>
      </c>
      <c r="F15" s="71"/>
      <c r="G15" s="67"/>
      <c r="H15" s="68"/>
      <c r="I15" s="322" t="e">
        <f>SUM('Bank Account'!#REF!)</f>
        <v>#REF!</v>
      </c>
      <c r="J15" s="218" t="e">
        <f t="shared" si="0"/>
        <v>#REF!</v>
      </c>
    </row>
    <row r="16" spans="1:10" ht="15.75" x14ac:dyDescent="0.25">
      <c r="A16" s="128">
        <f>SUM(A6:A15)</f>
        <v>16308.53</v>
      </c>
      <c r="B16" s="75"/>
      <c r="C16" s="76" t="s">
        <v>50</v>
      </c>
      <c r="D16" s="76"/>
      <c r="E16" s="77">
        <f>SUM(E6:E15)</f>
        <v>7275</v>
      </c>
      <c r="F16" s="78"/>
      <c r="G16" s="79"/>
      <c r="H16" s="75"/>
      <c r="I16" s="80" t="e">
        <f>SUM(I6:I15)</f>
        <v>#REF!</v>
      </c>
      <c r="J16" s="218"/>
    </row>
    <row r="17" spans="1:10" ht="15.75" x14ac:dyDescent="0.25">
      <c r="A17" s="126"/>
      <c r="B17" s="68"/>
      <c r="C17" s="69"/>
      <c r="D17" s="69"/>
      <c r="E17" s="70"/>
      <c r="F17" s="71"/>
      <c r="G17" s="72"/>
      <c r="H17" s="68"/>
      <c r="I17" s="73"/>
      <c r="J17" s="323"/>
    </row>
    <row r="18" spans="1:10" ht="15.75" x14ac:dyDescent="0.25">
      <c r="A18" s="124" t="s">
        <v>47</v>
      </c>
      <c r="B18" s="81"/>
      <c r="C18" s="57" t="s">
        <v>51</v>
      </c>
      <c r="D18" s="57"/>
      <c r="E18" s="59" t="s">
        <v>47</v>
      </c>
      <c r="F18" s="82"/>
      <c r="G18" s="61" t="s">
        <v>49</v>
      </c>
      <c r="H18" s="81"/>
      <c r="I18" s="62" t="s">
        <v>47</v>
      </c>
      <c r="J18" s="323"/>
    </row>
    <row r="19" spans="1:10" ht="15.75" customHeight="1" x14ac:dyDescent="0.25">
      <c r="A19" s="129">
        <v>2940.28</v>
      </c>
      <c r="B19" s="63"/>
      <c r="C19" s="64" t="s">
        <v>11</v>
      </c>
      <c r="D19" s="64"/>
      <c r="E19" s="324">
        <v>3282</v>
      </c>
      <c r="F19" s="66"/>
      <c r="G19" s="72"/>
      <c r="H19" s="64"/>
      <c r="I19" s="325" t="e">
        <f>SUM('Bank Account'!#REF!)</f>
        <v>#REF!</v>
      </c>
      <c r="J19" s="326" t="e">
        <f>I19/E19</f>
        <v>#REF!</v>
      </c>
    </row>
    <row r="20" spans="1:10" ht="15.75" customHeight="1" x14ac:dyDescent="0.25">
      <c r="A20" s="130">
        <v>338</v>
      </c>
      <c r="B20" s="63"/>
      <c r="C20" s="64" t="s">
        <v>205</v>
      </c>
      <c r="D20" s="64"/>
      <c r="E20" s="327">
        <v>312</v>
      </c>
      <c r="F20" s="66"/>
      <c r="G20" s="72"/>
      <c r="H20" s="64"/>
      <c r="I20" s="325" t="e">
        <f>SUM('Bank Account'!#REF!)</f>
        <v>#REF!</v>
      </c>
      <c r="J20" s="326" t="e">
        <f t="shared" ref="J20:J40" si="1">I20/E20</f>
        <v>#REF!</v>
      </c>
    </row>
    <row r="21" spans="1:10" ht="15.75" x14ac:dyDescent="0.25">
      <c r="A21" s="131">
        <v>112.93</v>
      </c>
      <c r="B21" s="83"/>
      <c r="C21" s="84" t="s">
        <v>206</v>
      </c>
      <c r="D21" s="84"/>
      <c r="E21" s="328">
        <v>125</v>
      </c>
      <c r="F21" s="85"/>
      <c r="G21" s="72"/>
      <c r="H21" s="84"/>
      <c r="I21" s="329" t="e">
        <f>SUM('Bank Account'!#REF!)</f>
        <v>#REF!</v>
      </c>
      <c r="J21" s="326" t="e">
        <f t="shared" si="1"/>
        <v>#REF!</v>
      </c>
    </row>
    <row r="22" spans="1:10" ht="15.75" x14ac:dyDescent="0.25">
      <c r="A22" s="130">
        <v>92.06</v>
      </c>
      <c r="B22" s="83"/>
      <c r="C22" s="84" t="s">
        <v>189</v>
      </c>
      <c r="D22" s="84"/>
      <c r="E22" s="328">
        <v>150</v>
      </c>
      <c r="F22" s="85"/>
      <c r="G22" s="72"/>
      <c r="H22" s="84"/>
      <c r="I22" s="325" t="e">
        <f>SUM('Bank Account'!#REF!)</f>
        <v>#REF!</v>
      </c>
      <c r="J22" s="326" t="e">
        <f t="shared" si="1"/>
        <v>#REF!</v>
      </c>
    </row>
    <row r="23" spans="1:10" ht="15.75" customHeight="1" x14ac:dyDescent="0.25">
      <c r="A23" s="130">
        <v>37.229999999999997</v>
      </c>
      <c r="B23" s="83"/>
      <c r="C23" s="363" t="s">
        <v>76</v>
      </c>
      <c r="D23" s="84"/>
      <c r="E23" s="328">
        <v>46</v>
      </c>
      <c r="F23" s="85"/>
      <c r="G23" s="72"/>
      <c r="H23" s="84"/>
      <c r="I23" s="325" t="e">
        <f>SUM('Bank Account'!#REF!)</f>
        <v>#REF!</v>
      </c>
      <c r="J23" s="326" t="e">
        <f t="shared" si="1"/>
        <v>#REF!</v>
      </c>
    </row>
    <row r="24" spans="1:10" ht="15.75" x14ac:dyDescent="0.25">
      <c r="A24" s="132">
        <v>80</v>
      </c>
      <c r="B24" s="68"/>
      <c r="C24" s="69" t="s">
        <v>52</v>
      </c>
      <c r="D24" s="69"/>
      <c r="E24" s="327">
        <v>75</v>
      </c>
      <c r="F24" s="71"/>
      <c r="G24" s="72"/>
      <c r="H24" s="69"/>
      <c r="I24" s="325" t="e">
        <f>SUM('Bank Account'!#REF!)</f>
        <v>#REF!</v>
      </c>
      <c r="J24" s="326" t="e">
        <f t="shared" si="1"/>
        <v>#REF!</v>
      </c>
    </row>
    <row r="25" spans="1:10" ht="15.75" x14ac:dyDescent="0.25">
      <c r="A25" s="131">
        <v>190.33</v>
      </c>
      <c r="B25" s="68"/>
      <c r="C25" s="330" t="s">
        <v>190</v>
      </c>
      <c r="D25" s="69"/>
      <c r="E25" s="331">
        <v>400</v>
      </c>
      <c r="F25" s="86"/>
      <c r="G25" s="72" t="s">
        <v>388</v>
      </c>
      <c r="H25" s="69"/>
      <c r="I25" s="325" t="e">
        <f>SUM('Bank Account'!#REF!)</f>
        <v>#REF!</v>
      </c>
      <c r="J25" s="326" t="e">
        <f t="shared" si="1"/>
        <v>#REF!</v>
      </c>
    </row>
    <row r="26" spans="1:10" ht="15.75" x14ac:dyDescent="0.25">
      <c r="A26" s="131">
        <v>88.78</v>
      </c>
      <c r="B26" s="68"/>
      <c r="C26" s="330" t="s">
        <v>12</v>
      </c>
      <c r="D26" s="69"/>
      <c r="E26" s="331">
        <v>400</v>
      </c>
      <c r="F26" s="86"/>
      <c r="G26" s="72" t="s">
        <v>390</v>
      </c>
      <c r="H26" s="69"/>
      <c r="I26" s="332" t="e">
        <f>SUM('Bank Account'!#REF!)</f>
        <v>#REF!</v>
      </c>
      <c r="J26" s="326" t="e">
        <f t="shared" si="1"/>
        <v>#REF!</v>
      </c>
    </row>
    <row r="27" spans="1:10" ht="15.75" x14ac:dyDescent="0.25">
      <c r="A27" s="132">
        <v>136</v>
      </c>
      <c r="B27" s="68"/>
      <c r="C27" s="69" t="s">
        <v>74</v>
      </c>
      <c r="D27" s="69"/>
      <c r="E27" s="327">
        <v>112</v>
      </c>
      <c r="F27" s="71"/>
      <c r="G27" s="72"/>
      <c r="H27" s="69"/>
      <c r="I27" s="332" t="e">
        <f>SUM('Bank Account'!#REF!)</f>
        <v>#REF!</v>
      </c>
      <c r="J27" s="326" t="e">
        <f t="shared" si="1"/>
        <v>#REF!</v>
      </c>
    </row>
    <row r="28" spans="1:10" ht="15.75" x14ac:dyDescent="0.25">
      <c r="A28" s="132">
        <v>746.6</v>
      </c>
      <c r="B28" s="68"/>
      <c r="C28" s="69" t="s">
        <v>191</v>
      </c>
      <c r="D28" s="69"/>
      <c r="E28" s="327">
        <v>916.66</v>
      </c>
      <c r="F28" s="71"/>
      <c r="G28" s="72"/>
      <c r="H28" s="69"/>
      <c r="I28" s="332" t="e">
        <f>SUM('Bank Account'!#REF!)</f>
        <v>#REF!</v>
      </c>
      <c r="J28" s="326" t="e">
        <f t="shared" si="1"/>
        <v>#REF!</v>
      </c>
    </row>
    <row r="29" spans="1:10" ht="15.75" x14ac:dyDescent="0.25">
      <c r="A29" s="132">
        <v>187.86</v>
      </c>
      <c r="B29" s="68"/>
      <c r="C29" s="69" t="s">
        <v>13</v>
      </c>
      <c r="D29" s="69"/>
      <c r="E29" s="327">
        <v>200</v>
      </c>
      <c r="F29" s="71"/>
      <c r="G29" s="72"/>
      <c r="H29" s="69"/>
      <c r="I29" s="332" t="e">
        <f>SUM('Bank Account'!#REF!)</f>
        <v>#REF!</v>
      </c>
      <c r="J29" s="326" t="e">
        <f t="shared" si="1"/>
        <v>#REF!</v>
      </c>
    </row>
    <row r="30" spans="1:10" ht="15.75" x14ac:dyDescent="0.25">
      <c r="A30" s="132">
        <v>154</v>
      </c>
      <c r="B30" s="68"/>
      <c r="C30" s="69" t="s">
        <v>192</v>
      </c>
      <c r="D30" s="69"/>
      <c r="E30" s="333">
        <v>154</v>
      </c>
      <c r="F30" s="71"/>
      <c r="G30" s="72"/>
      <c r="H30" s="69"/>
      <c r="I30" s="332" t="e">
        <f>SUM('Bank Account'!#REF!)</f>
        <v>#REF!</v>
      </c>
      <c r="J30" s="326" t="e">
        <f t="shared" si="1"/>
        <v>#REF!</v>
      </c>
    </row>
    <row r="31" spans="1:10" ht="15.75" x14ac:dyDescent="0.25">
      <c r="A31" s="132">
        <v>1062</v>
      </c>
      <c r="B31" s="68"/>
      <c r="C31" s="69" t="s">
        <v>193</v>
      </c>
      <c r="D31" s="69"/>
      <c r="E31" s="327">
        <v>300</v>
      </c>
      <c r="F31" s="71"/>
      <c r="G31" s="72" t="s">
        <v>295</v>
      </c>
      <c r="H31" s="69"/>
      <c r="I31" s="332" t="e">
        <f>SUM('Bank Account'!#REF!)</f>
        <v>#REF!</v>
      </c>
      <c r="J31" s="326" t="e">
        <f t="shared" si="1"/>
        <v>#REF!</v>
      </c>
    </row>
    <row r="32" spans="1:10" ht="15.75" x14ac:dyDescent="0.25">
      <c r="A32" s="132">
        <v>0</v>
      </c>
      <c r="B32" s="68"/>
      <c r="C32" s="69" t="s">
        <v>194</v>
      </c>
      <c r="D32" s="69"/>
      <c r="E32" s="327">
        <v>40</v>
      </c>
      <c r="F32" s="71"/>
      <c r="G32" s="72"/>
      <c r="H32" s="69"/>
      <c r="I32" s="332" t="e">
        <f>SUM('Bank Account'!#REF!)</f>
        <v>#REF!</v>
      </c>
      <c r="J32" s="326" t="e">
        <f t="shared" si="1"/>
        <v>#REF!</v>
      </c>
    </row>
    <row r="33" spans="1:10" ht="15.75" x14ac:dyDescent="0.25">
      <c r="A33" s="132">
        <v>123.87</v>
      </c>
      <c r="B33" s="68"/>
      <c r="C33" s="69" t="s">
        <v>43</v>
      </c>
      <c r="D33" s="69"/>
      <c r="E33" s="327">
        <v>130</v>
      </c>
      <c r="F33" s="71"/>
      <c r="G33" s="72"/>
      <c r="H33" s="69"/>
      <c r="I33" s="332" t="e">
        <f>SUM('Bank Account'!#REF!)</f>
        <v>#REF!</v>
      </c>
      <c r="J33" s="326" t="e">
        <f t="shared" si="1"/>
        <v>#REF!</v>
      </c>
    </row>
    <row r="34" spans="1:10" ht="15.75" x14ac:dyDescent="0.25">
      <c r="A34" s="132">
        <v>99.17</v>
      </c>
      <c r="B34" s="68"/>
      <c r="C34" s="69" t="s">
        <v>195</v>
      </c>
      <c r="D34" s="69"/>
      <c r="E34" s="327">
        <v>80</v>
      </c>
      <c r="F34" s="71"/>
      <c r="G34" s="72" t="s">
        <v>389</v>
      </c>
      <c r="H34" s="69"/>
      <c r="I34" s="332" t="e">
        <f>SUM('Bank Account'!#REF!)</f>
        <v>#REF!</v>
      </c>
      <c r="J34" s="326" t="e">
        <f t="shared" si="1"/>
        <v>#REF!</v>
      </c>
    </row>
    <row r="35" spans="1:10" ht="15.75" x14ac:dyDescent="0.25">
      <c r="A35" s="132">
        <v>0</v>
      </c>
      <c r="B35" s="68"/>
      <c r="C35" s="69" t="s">
        <v>3</v>
      </c>
      <c r="D35" s="69"/>
      <c r="E35" s="327">
        <v>150</v>
      </c>
      <c r="F35" s="71"/>
      <c r="G35" s="72"/>
      <c r="H35" s="69"/>
      <c r="I35" s="332" t="e">
        <f>SUM('Bank Account'!#REF!)</f>
        <v>#REF!</v>
      </c>
      <c r="J35" s="326" t="e">
        <f t="shared" si="1"/>
        <v>#REF!</v>
      </c>
    </row>
    <row r="36" spans="1:10" ht="15.75" x14ac:dyDescent="0.25">
      <c r="A36" s="132">
        <v>0</v>
      </c>
      <c r="B36" s="68"/>
      <c r="C36" s="69" t="s">
        <v>53</v>
      </c>
      <c r="D36" s="69"/>
      <c r="E36" s="327">
        <v>0</v>
      </c>
      <c r="F36" s="71"/>
      <c r="G36" s="72"/>
      <c r="H36" s="69"/>
      <c r="I36" s="332" t="e">
        <f>SUM('Bank Account'!#REF!)</f>
        <v>#REF!</v>
      </c>
      <c r="J36" s="326" t="e">
        <f t="shared" si="1"/>
        <v>#REF!</v>
      </c>
    </row>
    <row r="37" spans="1:10" ht="15.75" x14ac:dyDescent="0.25">
      <c r="A37" s="132">
        <v>1070.1400000000001</v>
      </c>
      <c r="B37" s="68"/>
      <c r="C37" s="69" t="s">
        <v>208</v>
      </c>
      <c r="D37" s="69"/>
      <c r="E37" s="327">
        <v>100</v>
      </c>
      <c r="F37" s="71"/>
      <c r="G37" s="72"/>
      <c r="H37" s="69"/>
      <c r="I37" s="332" t="e">
        <f>SUM('Bank Account'!#REF!)</f>
        <v>#REF!</v>
      </c>
      <c r="J37" s="326" t="e">
        <f t="shared" si="1"/>
        <v>#REF!</v>
      </c>
    </row>
    <row r="38" spans="1:10" ht="15.75" x14ac:dyDescent="0.25">
      <c r="A38" s="334">
        <v>6885</v>
      </c>
      <c r="B38" s="68"/>
      <c r="C38" s="69" t="s">
        <v>196</v>
      </c>
      <c r="D38" s="69"/>
      <c r="E38" s="335">
        <v>0</v>
      </c>
      <c r="F38" s="71"/>
      <c r="G38" s="72"/>
      <c r="H38" s="69"/>
      <c r="I38" s="332" t="e">
        <f>SUM('Bank Account'!#REF!)</f>
        <v>#REF!</v>
      </c>
      <c r="J38" s="326" t="e">
        <f t="shared" si="1"/>
        <v>#REF!</v>
      </c>
    </row>
    <row r="39" spans="1:10" ht="15.75" x14ac:dyDescent="0.25">
      <c r="A39" s="133">
        <f>SUM(A19:A38)</f>
        <v>14344.25</v>
      </c>
      <c r="B39" s="75"/>
      <c r="C39" s="76" t="s">
        <v>54</v>
      </c>
      <c r="D39" s="76"/>
      <c r="E39" s="87">
        <f>SUM(E19:E38)</f>
        <v>6972.66</v>
      </c>
      <c r="F39" s="78"/>
      <c r="G39" s="79"/>
      <c r="H39" s="75"/>
      <c r="I39" s="336" t="e">
        <f>SUM(I19:I37)</f>
        <v>#REF!</v>
      </c>
      <c r="J39" s="326" t="e">
        <f t="shared" si="1"/>
        <v>#REF!</v>
      </c>
    </row>
    <row r="40" spans="1:10" ht="15.75" x14ac:dyDescent="0.25">
      <c r="A40" s="134"/>
      <c r="B40" s="68"/>
      <c r="C40" s="88"/>
      <c r="D40" s="69"/>
      <c r="E40" s="70"/>
      <c r="F40" s="71"/>
      <c r="G40" s="72"/>
      <c r="H40" s="68"/>
      <c r="I40" s="89"/>
      <c r="J40" s="326" t="e">
        <f t="shared" si="1"/>
        <v>#DIV/0!</v>
      </c>
    </row>
    <row r="41" spans="1:10" ht="15.75" x14ac:dyDescent="0.25">
      <c r="A41" s="126">
        <f>A16</f>
        <v>16308.53</v>
      </c>
      <c r="B41" s="68"/>
      <c r="C41" s="69" t="s">
        <v>55</v>
      </c>
      <c r="D41" s="69"/>
      <c r="E41" s="70">
        <f>E16</f>
        <v>7275</v>
      </c>
      <c r="F41" s="71"/>
      <c r="G41" s="90" t="s">
        <v>56</v>
      </c>
      <c r="H41" s="68"/>
      <c r="I41" s="73" t="e">
        <f>I16</f>
        <v>#REF!</v>
      </c>
      <c r="J41" s="326"/>
    </row>
    <row r="42" spans="1:10" ht="15.75" x14ac:dyDescent="0.25">
      <c r="A42" s="135">
        <f>-A39</f>
        <v>-14344.25</v>
      </c>
      <c r="B42" s="68"/>
      <c r="C42" s="69" t="s">
        <v>57</v>
      </c>
      <c r="D42" s="69"/>
      <c r="E42" s="91">
        <f>-E39</f>
        <v>-6972.66</v>
      </c>
      <c r="F42" s="71"/>
      <c r="G42" s="90" t="s">
        <v>58</v>
      </c>
      <c r="H42" s="68"/>
      <c r="I42" s="92" t="e">
        <f>-I39</f>
        <v>#REF!</v>
      </c>
      <c r="J42" s="326"/>
    </row>
    <row r="43" spans="1:10" ht="16.5" thickBot="1" x14ac:dyDescent="0.3">
      <c r="A43" s="136">
        <f>SUM(A41:A42)</f>
        <v>1964.2800000000007</v>
      </c>
      <c r="B43" s="75"/>
      <c r="C43" s="76" t="s">
        <v>59</v>
      </c>
      <c r="D43" s="76"/>
      <c r="E43" s="337">
        <f>SUM(E41:E42)</f>
        <v>302.34000000000015</v>
      </c>
      <c r="F43" s="93"/>
      <c r="G43" s="90" t="s">
        <v>60</v>
      </c>
      <c r="H43" s="75"/>
      <c r="I43" s="338" t="e">
        <f>SUM(I41:I42)</f>
        <v>#REF!</v>
      </c>
      <c r="J43" s="326"/>
    </row>
    <row r="44" spans="1:10" ht="17.25" thickTop="1" thickBot="1" x14ac:dyDescent="0.3">
      <c r="A44" s="137"/>
      <c r="B44" s="95"/>
      <c r="C44" s="95"/>
      <c r="D44" s="95"/>
      <c r="E44" s="96"/>
      <c r="F44" s="97"/>
      <c r="G44" s="98"/>
      <c r="H44" s="95"/>
      <c r="I44" s="94"/>
      <c r="J44" s="339"/>
    </row>
    <row r="45" spans="1:10" ht="15.75" x14ac:dyDescent="0.25">
      <c r="A45" s="138">
        <v>45382</v>
      </c>
      <c r="B45" s="68"/>
      <c r="C45" s="68"/>
      <c r="D45" s="68"/>
      <c r="E45" s="71"/>
      <c r="F45" s="100"/>
      <c r="G45" s="101" t="s">
        <v>61</v>
      </c>
      <c r="H45" s="68"/>
      <c r="I45" s="99">
        <f>SUM('Bank Recon'!B8)</f>
        <v>45747</v>
      </c>
      <c r="J45" s="315"/>
    </row>
    <row r="46" spans="1:10" ht="15.75" x14ac:dyDescent="0.25">
      <c r="A46" s="139">
        <f>SUM('Bank Recon'!D27)</f>
        <v>3881.02</v>
      </c>
      <c r="B46" s="68"/>
      <c r="C46" s="68"/>
      <c r="D46" s="68"/>
      <c r="E46" s="71"/>
      <c r="F46" s="100"/>
      <c r="G46" s="69" t="s">
        <v>25</v>
      </c>
      <c r="H46" s="68"/>
      <c r="I46" s="102">
        <f>SUM('Bank Recon'!C10)</f>
        <v>3383.63</v>
      </c>
      <c r="J46" s="315"/>
    </row>
    <row r="47" spans="1:10" ht="15.75" x14ac:dyDescent="0.25">
      <c r="A47" s="140"/>
      <c r="B47" s="68"/>
      <c r="C47" s="68"/>
      <c r="D47" s="68"/>
      <c r="E47" s="71"/>
      <c r="F47" s="100"/>
      <c r="G47" s="69" t="s">
        <v>196</v>
      </c>
      <c r="H47" s="68"/>
      <c r="I47" s="114">
        <f>SUM('Bank Recon'!C11)</f>
        <v>6919.39</v>
      </c>
      <c r="J47" s="315"/>
    </row>
    <row r="48" spans="1:10" ht="15.75" x14ac:dyDescent="0.25">
      <c r="A48" s="141">
        <v>0</v>
      </c>
      <c r="B48" s="68"/>
      <c r="C48" s="68" t="s">
        <v>62</v>
      </c>
      <c r="D48" s="68"/>
      <c r="E48" s="71"/>
      <c r="F48" s="100"/>
      <c r="G48" s="69" t="s">
        <v>63</v>
      </c>
      <c r="H48" s="68"/>
      <c r="I48" s="103">
        <v>0</v>
      </c>
      <c r="J48" s="315"/>
    </row>
    <row r="49" spans="1:10" s="109" customFormat="1" ht="15.75" x14ac:dyDescent="0.25">
      <c r="A49" s="142">
        <v>0</v>
      </c>
      <c r="B49" s="105"/>
      <c r="C49" s="105" t="s">
        <v>64</v>
      </c>
      <c r="D49" s="105"/>
      <c r="E49" s="106"/>
      <c r="F49" s="107"/>
      <c r="G49" s="108" t="s">
        <v>65</v>
      </c>
      <c r="H49" s="105"/>
      <c r="I49" s="104">
        <v>0</v>
      </c>
      <c r="J49" s="340"/>
    </row>
    <row r="50" spans="1:10" ht="16.5" thickBot="1" x14ac:dyDescent="0.3">
      <c r="A50" s="143">
        <f>SUM(A46:A49)</f>
        <v>3881.02</v>
      </c>
      <c r="B50" s="68"/>
      <c r="C50" s="68" t="s">
        <v>66</v>
      </c>
      <c r="D50" s="68"/>
      <c r="E50" s="71"/>
      <c r="F50" s="100"/>
      <c r="G50" s="69" t="s">
        <v>67</v>
      </c>
      <c r="H50" s="68"/>
      <c r="I50" s="110">
        <f>SUM(I46:I49)</f>
        <v>10303.02</v>
      </c>
      <c r="J50" s="315"/>
    </row>
    <row r="51" spans="1:10" ht="16.5" thickTop="1" x14ac:dyDescent="0.25">
      <c r="A51" s="144"/>
      <c r="B51" s="68"/>
      <c r="C51" s="68"/>
      <c r="D51" s="68"/>
      <c r="E51" s="71"/>
      <c r="F51" s="100"/>
      <c r="G51" s="69"/>
      <c r="H51" s="68"/>
      <c r="I51" s="111"/>
      <c r="J51" s="315"/>
    </row>
    <row r="52" spans="1:10" ht="15.75" x14ac:dyDescent="0.25">
      <c r="A52" s="144" t="s">
        <v>69</v>
      </c>
      <c r="B52" s="68"/>
      <c r="C52" s="68" t="s">
        <v>68</v>
      </c>
      <c r="D52" s="68"/>
      <c r="E52" s="71"/>
      <c r="F52" s="100"/>
      <c r="G52" s="76" t="s">
        <v>68</v>
      </c>
      <c r="H52" s="68"/>
      <c r="I52" s="341" t="s">
        <v>294</v>
      </c>
      <c r="J52" s="315"/>
    </row>
    <row r="53" spans="1:10" ht="15.75" x14ac:dyDescent="0.25">
      <c r="A53" s="145">
        <v>300</v>
      </c>
      <c r="B53" s="68"/>
      <c r="C53" s="68" t="s">
        <v>262</v>
      </c>
      <c r="D53" s="68"/>
      <c r="E53" s="71"/>
      <c r="F53" s="100"/>
      <c r="G53" s="347" t="s">
        <v>196</v>
      </c>
      <c r="I53" s="145">
        <v>500</v>
      </c>
      <c r="J53" s="315"/>
    </row>
    <row r="54" spans="1:10" ht="15.75" x14ac:dyDescent="0.25">
      <c r="A54" s="145">
        <v>200</v>
      </c>
      <c r="B54" s="68"/>
      <c r="C54" s="68" t="s">
        <v>71</v>
      </c>
      <c r="D54" s="68"/>
      <c r="E54" s="71"/>
      <c r="F54" s="100"/>
      <c r="G54" s="76" t="s">
        <v>262</v>
      </c>
      <c r="H54" s="68"/>
      <c r="I54" s="145">
        <v>300</v>
      </c>
      <c r="J54" s="315"/>
    </row>
    <row r="55" spans="1:10" ht="15.75" x14ac:dyDescent="0.25">
      <c r="A55" s="342">
        <v>62</v>
      </c>
      <c r="B55" s="68"/>
      <c r="C55" s="68" t="s">
        <v>71</v>
      </c>
      <c r="D55" s="68"/>
      <c r="E55" s="71"/>
      <c r="F55" s="100"/>
      <c r="G55" s="69"/>
      <c r="H55" s="68"/>
      <c r="I55" s="343"/>
      <c r="J55" s="315"/>
    </row>
    <row r="56" spans="1:10" ht="15.75" x14ac:dyDescent="0.25">
      <c r="A56" s="342">
        <v>500</v>
      </c>
      <c r="B56" s="68"/>
      <c r="C56" s="68" t="s">
        <v>196</v>
      </c>
      <c r="D56" s="68"/>
      <c r="E56" s="71"/>
      <c r="F56" s="100"/>
      <c r="G56" s="69"/>
      <c r="H56" s="68"/>
      <c r="I56" s="343"/>
      <c r="J56" s="315"/>
    </row>
    <row r="57" spans="1:10" ht="15.75" x14ac:dyDescent="0.25">
      <c r="A57" s="146">
        <f>SUM(A53:A56)</f>
        <v>1062</v>
      </c>
      <c r="B57" s="117"/>
      <c r="C57" s="118"/>
      <c r="D57" s="117"/>
      <c r="E57" s="119"/>
      <c r="F57" s="120"/>
      <c r="G57" s="121" t="s">
        <v>70</v>
      </c>
      <c r="H57" s="117"/>
      <c r="I57" s="344">
        <f>SUM(I53:I56)</f>
        <v>800</v>
      </c>
      <c r="J57" s="345"/>
    </row>
    <row r="58" spans="1:10" x14ac:dyDescent="0.25">
      <c r="A58" s="346"/>
      <c r="B58" s="346"/>
      <c r="C58" s="346"/>
      <c r="D58" s="346"/>
      <c r="E58" s="346"/>
      <c r="F58" s="346"/>
      <c r="G58" s="346"/>
      <c r="H58" s="346"/>
      <c r="I58" s="346"/>
    </row>
    <row r="59" spans="1:10" x14ac:dyDescent="0.25">
      <c r="A59" s="346"/>
      <c r="B59" s="346"/>
      <c r="C59" s="346"/>
      <c r="D59" s="346"/>
      <c r="E59" s="346"/>
      <c r="F59" s="346"/>
      <c r="G59" s="346"/>
      <c r="H59" s="346"/>
      <c r="I59" s="346"/>
    </row>
  </sheetData>
  <mergeCells count="2">
    <mergeCell ref="A1:J1"/>
    <mergeCell ref="J3:J5"/>
  </mergeCells>
  <conditionalFormatting sqref="J6:J15">
    <cfRule type="cellIs" dxfId="19" priority="4" operator="between">
      <formula>0</formula>
      <formula>0.74</formula>
    </cfRule>
    <cfRule type="cellIs" dxfId="18" priority="5" operator="between">
      <formula>0.75</formula>
      <formula>0.99</formula>
    </cfRule>
    <cfRule type="cellIs" dxfId="17" priority="6" operator="greaterThan">
      <formula>1</formula>
    </cfRule>
  </conditionalFormatting>
  <conditionalFormatting sqref="J19:J40">
    <cfRule type="cellIs" dxfId="16" priority="1" operator="between">
      <formula>0</formula>
      <formula>0.74</formula>
    </cfRule>
    <cfRule type="cellIs" dxfId="15" priority="2" operator="between">
      <formula>0.75</formula>
      <formula>0.99</formula>
    </cfRule>
    <cfRule type="cellIs" dxfId="14" priority="3" operator="greaterThan">
      <formula>1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FDFA-E10E-4987-BBAE-8DAEE1B95A37}">
  <dimension ref="A1:F20"/>
  <sheetViews>
    <sheetView workbookViewId="0">
      <selection activeCell="C23" sqref="C23"/>
    </sheetView>
  </sheetViews>
  <sheetFormatPr defaultRowHeight="15" x14ac:dyDescent="0.25"/>
  <cols>
    <col min="1" max="1" width="22.7109375" customWidth="1"/>
    <col min="2" max="2" width="14.28515625" bestFit="1" customWidth="1"/>
    <col min="3" max="6" width="20.140625" customWidth="1"/>
  </cols>
  <sheetData>
    <row r="1" spans="1:6" x14ac:dyDescent="0.25">
      <c r="A1" s="215" t="s">
        <v>117</v>
      </c>
      <c r="B1" s="307">
        <f>SUM('Bank Recon'!C10)</f>
        <v>3383.63</v>
      </c>
      <c r="C1" s="215"/>
      <c r="D1" s="215"/>
      <c r="E1" s="215"/>
      <c r="F1" s="215"/>
    </row>
    <row r="2" spans="1:6" x14ac:dyDescent="0.25">
      <c r="A2" s="215" t="s">
        <v>196</v>
      </c>
      <c r="B2" s="307">
        <f>SUM('Bank Recon'!C11)</f>
        <v>6919.39</v>
      </c>
      <c r="C2" s="215"/>
      <c r="D2" s="215"/>
      <c r="E2" s="215"/>
      <c r="F2" s="215"/>
    </row>
    <row r="3" spans="1:6" ht="18.75" x14ac:dyDescent="0.3">
      <c r="A3" s="370" t="s">
        <v>214</v>
      </c>
      <c r="B3" s="370"/>
      <c r="C3" s="215"/>
      <c r="D3" s="215"/>
      <c r="E3" s="215"/>
      <c r="F3" s="215"/>
    </row>
    <row r="4" spans="1:6" x14ac:dyDescent="0.25">
      <c r="A4" s="215"/>
      <c r="B4" s="215"/>
      <c r="C4" s="215"/>
      <c r="D4" s="215"/>
      <c r="E4" s="215"/>
      <c r="F4" s="215"/>
    </row>
    <row r="5" spans="1:6" x14ac:dyDescent="0.25">
      <c r="A5" s="215"/>
      <c r="B5" s="215"/>
      <c r="C5" s="308" t="s">
        <v>126</v>
      </c>
      <c r="D5" s="308" t="s">
        <v>128</v>
      </c>
      <c r="E5" s="308" t="s">
        <v>127</v>
      </c>
      <c r="F5" s="308" t="s">
        <v>129</v>
      </c>
    </row>
    <row r="6" spans="1:6" x14ac:dyDescent="0.25">
      <c r="A6" s="371" t="s">
        <v>123</v>
      </c>
      <c r="B6" s="372"/>
      <c r="C6" s="372"/>
      <c r="D6" s="372"/>
      <c r="E6" s="372"/>
      <c r="F6" s="372"/>
    </row>
    <row r="7" spans="1:6" x14ac:dyDescent="0.25">
      <c r="A7" s="149" t="s">
        <v>118</v>
      </c>
      <c r="B7" s="157">
        <v>500</v>
      </c>
      <c r="C7" s="161">
        <f>SUM(B7-D7)</f>
        <v>500</v>
      </c>
      <c r="D7" s="161"/>
      <c r="E7" s="1"/>
      <c r="F7" s="1"/>
    </row>
    <row r="8" spans="1:6" x14ac:dyDescent="0.25">
      <c r="A8" s="149" t="s">
        <v>72</v>
      </c>
      <c r="B8" s="157">
        <v>250</v>
      </c>
      <c r="C8" s="161">
        <f>SUM(B8-D8)</f>
        <v>250</v>
      </c>
      <c r="D8" s="161"/>
      <c r="E8" s="1"/>
      <c r="F8" s="1"/>
    </row>
    <row r="9" spans="1:6" x14ac:dyDescent="0.25">
      <c r="A9" s="150" t="s">
        <v>119</v>
      </c>
      <c r="B9" s="154">
        <f t="shared" ref="B9" si="0">SUM(B7:B8)</f>
        <v>750</v>
      </c>
      <c r="C9" s="161">
        <f>SUM(C7:C8)</f>
        <v>750</v>
      </c>
      <c r="D9" s="161"/>
      <c r="E9" s="1"/>
      <c r="F9" s="1"/>
    </row>
    <row r="10" spans="1:6" x14ac:dyDescent="0.25">
      <c r="A10" s="373" t="s">
        <v>124</v>
      </c>
      <c r="B10" s="374"/>
      <c r="C10" s="374"/>
      <c r="D10" s="374"/>
      <c r="E10" s="374"/>
      <c r="F10" s="375"/>
    </row>
    <row r="11" spans="1:6" x14ac:dyDescent="0.25">
      <c r="A11" s="151" t="s">
        <v>120</v>
      </c>
      <c r="B11" s="158">
        <v>750</v>
      </c>
      <c r="C11" s="161">
        <f>SUM(B11-D11)</f>
        <v>750</v>
      </c>
      <c r="D11" s="161"/>
      <c r="E11" s="1"/>
      <c r="F11" s="1"/>
    </row>
    <row r="12" spans="1:6" x14ac:dyDescent="0.25">
      <c r="A12" s="151" t="s">
        <v>121</v>
      </c>
      <c r="B12" s="158">
        <v>200</v>
      </c>
      <c r="C12" s="161">
        <f>SUM(B12-D12)</f>
        <v>200</v>
      </c>
      <c r="D12" s="161"/>
      <c r="E12" s="1"/>
      <c r="F12" s="1"/>
    </row>
    <row r="13" spans="1:6" x14ac:dyDescent="0.25">
      <c r="A13" s="152" t="s">
        <v>119</v>
      </c>
      <c r="B13" s="155">
        <f t="shared" ref="B13" si="1">SUM(B11:B12)</f>
        <v>950</v>
      </c>
      <c r="C13" s="161">
        <f>SUM(C11:C12)</f>
        <v>950</v>
      </c>
      <c r="D13" s="161"/>
      <c r="E13" s="1"/>
      <c r="F13" s="1"/>
    </row>
    <row r="14" spans="1:6" x14ac:dyDescent="0.25">
      <c r="A14" s="376" t="s">
        <v>125</v>
      </c>
      <c r="B14" s="377"/>
      <c r="C14" s="377"/>
      <c r="D14" s="377"/>
      <c r="E14" s="377"/>
      <c r="F14" s="378"/>
    </row>
    <row r="15" spans="1:6" x14ac:dyDescent="0.25">
      <c r="A15" s="153" t="s">
        <v>291</v>
      </c>
      <c r="B15" s="156">
        <v>1000</v>
      </c>
      <c r="C15" s="161">
        <f>SUM(B15-D15)</f>
        <v>1000</v>
      </c>
      <c r="D15" s="161"/>
      <c r="E15" s="1"/>
    </row>
    <row r="16" spans="1:6" x14ac:dyDescent="0.25">
      <c r="A16" s="153" t="s">
        <v>292</v>
      </c>
      <c r="B16" s="156">
        <v>3845.83</v>
      </c>
      <c r="C16" s="161">
        <f>SUM(B16-D16)</f>
        <v>3845.83</v>
      </c>
      <c r="D16" s="161"/>
      <c r="E16" s="1"/>
      <c r="F16" s="1"/>
    </row>
    <row r="17" spans="1:6" ht="30" x14ac:dyDescent="0.25">
      <c r="A17" s="153" t="s">
        <v>157</v>
      </c>
      <c r="B17" s="156">
        <v>300</v>
      </c>
      <c r="C17" s="161">
        <f>SUM(B17-D17)</f>
        <v>6.25</v>
      </c>
      <c r="D17" s="161">
        <v>293.75</v>
      </c>
      <c r="E17" s="348" t="s">
        <v>336</v>
      </c>
      <c r="F17" s="348" t="s">
        <v>335</v>
      </c>
    </row>
    <row r="18" spans="1:6" x14ac:dyDescent="0.25">
      <c r="A18" s="360" t="s">
        <v>437</v>
      </c>
      <c r="B18" s="361">
        <v>300</v>
      </c>
      <c r="C18" s="362">
        <v>300</v>
      </c>
      <c r="D18" s="148"/>
      <c r="E18" s="349"/>
      <c r="F18" s="349"/>
    </row>
    <row r="19" spans="1:6" x14ac:dyDescent="0.25">
      <c r="A19" s="309" t="s">
        <v>119</v>
      </c>
      <c r="B19" s="310">
        <f>SUM(B15:B18)</f>
        <v>5445.83</v>
      </c>
      <c r="C19" s="310">
        <f>SUM(C15:C18)</f>
        <v>5152.08</v>
      </c>
      <c r="D19" s="148"/>
    </row>
    <row r="20" spans="1:6" x14ac:dyDescent="0.25">
      <c r="A20" s="159" t="s">
        <v>122</v>
      </c>
      <c r="B20" s="160">
        <f>SUM(B9,B13,B19)</f>
        <v>7145.83</v>
      </c>
      <c r="C20" s="160">
        <f>SUM(C9,C13,C19)</f>
        <v>6852.08</v>
      </c>
      <c r="D20" s="215"/>
      <c r="E20" s="215"/>
      <c r="F20" s="215"/>
    </row>
  </sheetData>
  <mergeCells count="4">
    <mergeCell ref="A3:B3"/>
    <mergeCell ref="A6:F6"/>
    <mergeCell ref="A10:F10"/>
    <mergeCell ref="A14:F14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DL101"/>
  <sheetViews>
    <sheetView tabSelected="1" zoomScale="90" zoomScaleNormal="90" workbookViewId="0">
      <pane ySplit="3" topLeftCell="A7" activePane="bottomLeft" state="frozen"/>
      <selection activeCell="F1" sqref="F1"/>
      <selection pane="bottomLeft" activeCell="L20" sqref="L20"/>
    </sheetView>
  </sheetViews>
  <sheetFormatPr defaultColWidth="9.140625" defaultRowHeight="15" customHeight="1" x14ac:dyDescent="0.25"/>
  <cols>
    <col min="1" max="1" width="4.85546875" style="304" customWidth="1"/>
    <col min="2" max="2" width="12.7109375" style="247" customWidth="1"/>
    <col min="3" max="3" width="16" style="399" customWidth="1"/>
    <col min="4" max="4" width="44" style="247" customWidth="1"/>
    <col min="5" max="5" width="27.42578125" style="247" customWidth="1"/>
    <col min="6" max="6" width="11.42578125" style="248" customWidth="1"/>
    <col min="7" max="7" width="11.42578125" style="249" customWidth="1"/>
    <col min="8" max="10" width="11.42578125" style="248" customWidth="1"/>
    <col min="11" max="16384" width="9.140625" style="247"/>
  </cols>
  <sheetData>
    <row r="1" spans="1:10" ht="15" customHeight="1" x14ac:dyDescent="0.25">
      <c r="B1" s="246" t="s">
        <v>8</v>
      </c>
      <c r="C1" s="400"/>
    </row>
    <row r="2" spans="1:10" ht="15.75" customHeight="1" x14ac:dyDescent="0.25">
      <c r="B2" s="246"/>
      <c r="C2" s="400"/>
    </row>
    <row r="3" spans="1:10" ht="75" customHeight="1" x14ac:dyDescent="0.25">
      <c r="B3" s="253" t="s">
        <v>0</v>
      </c>
      <c r="C3" s="250" t="s">
        <v>1</v>
      </c>
      <c r="D3" s="247" t="s">
        <v>9</v>
      </c>
      <c r="E3" s="247" t="s">
        <v>10</v>
      </c>
      <c r="F3" s="248" t="s">
        <v>183</v>
      </c>
      <c r="G3" s="254" t="s">
        <v>16</v>
      </c>
      <c r="H3" s="255" t="s">
        <v>67</v>
      </c>
      <c r="I3" s="255" t="s">
        <v>3</v>
      </c>
      <c r="J3" s="256" t="s">
        <v>4</v>
      </c>
    </row>
    <row r="4" spans="1:10" ht="15" customHeight="1" x14ac:dyDescent="0.25">
      <c r="G4" s="254"/>
      <c r="H4" s="255">
        <f>SUM('Bank Recon'!D23)</f>
        <v>2145.59</v>
      </c>
      <c r="I4" s="255"/>
      <c r="J4" s="255"/>
    </row>
    <row r="5" spans="1:10" ht="15" customHeight="1" x14ac:dyDescent="0.25">
      <c r="B5" s="247" t="s">
        <v>0</v>
      </c>
      <c r="D5" s="247" t="s">
        <v>7</v>
      </c>
      <c r="E5" s="247" t="s">
        <v>10</v>
      </c>
      <c r="G5" s="254" t="s">
        <v>2</v>
      </c>
      <c r="H5" s="255"/>
      <c r="I5" s="255" t="s">
        <v>3</v>
      </c>
      <c r="J5" s="255" t="s">
        <v>4</v>
      </c>
    </row>
    <row r="6" spans="1:10" ht="15" customHeight="1" x14ac:dyDescent="0.25">
      <c r="A6" s="304" t="s">
        <v>83</v>
      </c>
      <c r="B6" s="258" t="s">
        <v>222</v>
      </c>
      <c r="C6" s="397">
        <v>20682</v>
      </c>
      <c r="D6" s="247" t="s">
        <v>457</v>
      </c>
      <c r="E6" s="247" t="s">
        <v>223</v>
      </c>
      <c r="G6" s="270">
        <v>70</v>
      </c>
      <c r="H6" s="255">
        <f>IF($F6&gt;0,$H$4+$F6,IF($G6&gt;0,$H$4-$G6,$H$4))</f>
        <v>2075.59</v>
      </c>
      <c r="I6" s="252">
        <v>0</v>
      </c>
      <c r="J6" s="248">
        <f>G6-I6</f>
        <v>70</v>
      </c>
    </row>
    <row r="7" spans="1:10" ht="15" customHeight="1" x14ac:dyDescent="0.25">
      <c r="A7" s="304" t="s">
        <v>84</v>
      </c>
      <c r="B7" s="258" t="s">
        <v>222</v>
      </c>
      <c r="C7" s="397"/>
      <c r="D7" s="247" t="s">
        <v>186</v>
      </c>
      <c r="E7" s="247" t="s">
        <v>224</v>
      </c>
      <c r="G7" s="270">
        <v>500</v>
      </c>
      <c r="H7" s="255">
        <f>IF($F7&gt;0,$H6+$F7,IF($G7&gt;0,$H6-$G7,$H6))</f>
        <v>1575.5900000000001</v>
      </c>
      <c r="I7" s="252">
        <v>0</v>
      </c>
      <c r="J7" s="248">
        <f t="shared" ref="J7:J87" si="0">G7-I7</f>
        <v>500</v>
      </c>
    </row>
    <row r="8" spans="1:10" ht="15" customHeight="1" x14ac:dyDescent="0.25">
      <c r="A8" s="305" t="s">
        <v>78</v>
      </c>
      <c r="B8" s="258" t="s">
        <v>271</v>
      </c>
      <c r="C8" s="398" t="s">
        <v>158</v>
      </c>
      <c r="D8" s="260" t="s">
        <v>273</v>
      </c>
      <c r="E8" s="260" t="s">
        <v>274</v>
      </c>
      <c r="F8" s="248">
        <v>217.93</v>
      </c>
      <c r="G8" s="254"/>
      <c r="H8" s="255">
        <f t="shared" ref="H8:H53" si="1">IF($F8&gt;0,$H7+$F8,IF($G8&gt;0,$H7-$G8,$H7))</f>
        <v>1793.5200000000002</v>
      </c>
      <c r="I8" s="255">
        <v>0</v>
      </c>
      <c r="J8" s="248">
        <f t="shared" si="0"/>
        <v>0</v>
      </c>
    </row>
    <row r="9" spans="1:10" ht="15" customHeight="1" x14ac:dyDescent="0.25">
      <c r="A9" s="305" t="s">
        <v>79</v>
      </c>
      <c r="B9" s="258" t="s">
        <v>272</v>
      </c>
      <c r="C9" s="398"/>
      <c r="D9" s="260" t="s">
        <v>458</v>
      </c>
      <c r="E9" s="260" t="s">
        <v>75</v>
      </c>
      <c r="F9" s="248">
        <v>3500</v>
      </c>
      <c r="G9" s="254"/>
      <c r="H9" s="255">
        <f t="shared" si="1"/>
        <v>5293.52</v>
      </c>
      <c r="I9" s="255">
        <v>0</v>
      </c>
      <c r="J9" s="248">
        <f t="shared" si="0"/>
        <v>0</v>
      </c>
    </row>
    <row r="10" spans="1:10" ht="15" customHeight="1" x14ac:dyDescent="0.25">
      <c r="A10" s="305" t="s">
        <v>80</v>
      </c>
      <c r="B10" s="258" t="s">
        <v>225</v>
      </c>
      <c r="C10" s="398"/>
      <c r="D10" s="260" t="s">
        <v>72</v>
      </c>
      <c r="E10" s="260" t="s">
        <v>275</v>
      </c>
      <c r="F10" s="248">
        <v>1473.76</v>
      </c>
      <c r="G10" s="254"/>
      <c r="H10" s="255">
        <f t="shared" si="1"/>
        <v>6767.2800000000007</v>
      </c>
      <c r="I10" s="255">
        <v>0</v>
      </c>
      <c r="J10" s="248">
        <f t="shared" si="0"/>
        <v>0</v>
      </c>
    </row>
    <row r="11" spans="1:10" ht="15" customHeight="1" x14ac:dyDescent="0.25">
      <c r="A11" s="304" t="s">
        <v>85</v>
      </c>
      <c r="B11" s="258" t="s">
        <v>225</v>
      </c>
      <c r="C11" s="397" t="s">
        <v>226</v>
      </c>
      <c r="D11" s="247" t="s">
        <v>456</v>
      </c>
      <c r="E11" s="247" t="s">
        <v>227</v>
      </c>
      <c r="G11" s="270">
        <v>242.1</v>
      </c>
      <c r="H11" s="255">
        <f t="shared" si="1"/>
        <v>6525.18</v>
      </c>
      <c r="I11" s="252">
        <v>0</v>
      </c>
      <c r="J11" s="248">
        <f t="shared" si="0"/>
        <v>242.1</v>
      </c>
    </row>
    <row r="12" spans="1:10" ht="15" customHeight="1" x14ac:dyDescent="0.25">
      <c r="A12" s="304" t="s">
        <v>86</v>
      </c>
      <c r="B12" s="258" t="s">
        <v>228</v>
      </c>
      <c r="C12" s="397"/>
      <c r="D12" s="247" t="s">
        <v>76</v>
      </c>
      <c r="E12" s="247" t="s">
        <v>229</v>
      </c>
      <c r="G12" s="270">
        <v>14.03</v>
      </c>
      <c r="H12" s="255">
        <f t="shared" si="1"/>
        <v>6511.1500000000005</v>
      </c>
      <c r="I12" s="252">
        <v>0</v>
      </c>
      <c r="J12" s="248">
        <f t="shared" si="0"/>
        <v>14.03</v>
      </c>
    </row>
    <row r="13" spans="1:10" ht="15" customHeight="1" x14ac:dyDescent="0.25">
      <c r="A13" s="304" t="s">
        <v>87</v>
      </c>
      <c r="B13" s="258" t="s">
        <v>230</v>
      </c>
      <c r="C13" s="397">
        <v>2420</v>
      </c>
      <c r="D13" s="247" t="s">
        <v>462</v>
      </c>
      <c r="E13" s="247" t="s">
        <v>231</v>
      </c>
      <c r="G13" s="270">
        <v>65</v>
      </c>
      <c r="H13" s="255">
        <f t="shared" si="1"/>
        <v>6446.1500000000005</v>
      </c>
      <c r="I13" s="252">
        <v>0</v>
      </c>
      <c r="J13" s="248">
        <f t="shared" si="0"/>
        <v>65</v>
      </c>
    </row>
    <row r="14" spans="1:10" ht="15" customHeight="1" x14ac:dyDescent="0.25">
      <c r="A14" s="304" t="s">
        <v>88</v>
      </c>
      <c r="B14" s="258" t="s">
        <v>230</v>
      </c>
      <c r="C14" s="397" t="s">
        <v>232</v>
      </c>
      <c r="D14" s="247" t="s">
        <v>233</v>
      </c>
      <c r="E14" s="247" t="s">
        <v>234</v>
      </c>
      <c r="G14" s="270">
        <v>65</v>
      </c>
      <c r="H14" s="255">
        <f t="shared" si="1"/>
        <v>6381.1500000000005</v>
      </c>
      <c r="I14" s="252">
        <v>0</v>
      </c>
      <c r="J14" s="248">
        <f t="shared" si="0"/>
        <v>65</v>
      </c>
    </row>
    <row r="15" spans="1:10" ht="15" customHeight="1" x14ac:dyDescent="0.25">
      <c r="A15" s="304" t="s">
        <v>89</v>
      </c>
      <c r="B15" s="258" t="s">
        <v>230</v>
      </c>
      <c r="C15" s="397"/>
      <c r="D15" s="247" t="s">
        <v>440</v>
      </c>
      <c r="E15" s="247" t="s">
        <v>235</v>
      </c>
      <c r="G15" s="270">
        <v>154</v>
      </c>
      <c r="H15" s="255">
        <f t="shared" si="1"/>
        <v>6227.1500000000005</v>
      </c>
      <c r="I15" s="252">
        <v>0</v>
      </c>
      <c r="J15" s="248">
        <f t="shared" si="0"/>
        <v>154</v>
      </c>
    </row>
    <row r="16" spans="1:10" ht="15" customHeight="1" x14ac:dyDescent="0.25">
      <c r="A16" s="304" t="s">
        <v>90</v>
      </c>
      <c r="B16" s="258" t="s">
        <v>230</v>
      </c>
      <c r="C16" s="397" t="s">
        <v>236</v>
      </c>
      <c r="D16" s="247" t="s">
        <v>456</v>
      </c>
      <c r="E16" s="247" t="s">
        <v>237</v>
      </c>
      <c r="G16" s="270">
        <v>71.17</v>
      </c>
      <c r="H16" s="255">
        <f t="shared" si="1"/>
        <v>6155.9800000000005</v>
      </c>
      <c r="I16" s="252">
        <v>0</v>
      </c>
      <c r="J16" s="248">
        <f t="shared" si="0"/>
        <v>71.17</v>
      </c>
    </row>
    <row r="17" spans="1:10" ht="15" customHeight="1" x14ac:dyDescent="0.25">
      <c r="A17" s="304" t="s">
        <v>98</v>
      </c>
      <c r="B17" s="258" t="s">
        <v>230</v>
      </c>
      <c r="C17" s="397"/>
      <c r="D17" s="247" t="s">
        <v>456</v>
      </c>
      <c r="E17" s="247" t="s">
        <v>238</v>
      </c>
      <c r="G17" s="270">
        <v>167.64</v>
      </c>
      <c r="H17" s="255">
        <f t="shared" si="1"/>
        <v>5988.34</v>
      </c>
      <c r="I17" s="252">
        <v>0</v>
      </c>
      <c r="J17" s="248">
        <f t="shared" si="0"/>
        <v>167.64</v>
      </c>
    </row>
    <row r="18" spans="1:10" ht="15" customHeight="1" x14ac:dyDescent="0.25">
      <c r="A18" s="304" t="s">
        <v>99</v>
      </c>
      <c r="B18" s="258" t="s">
        <v>230</v>
      </c>
      <c r="C18" s="397"/>
      <c r="D18" s="247" t="s">
        <v>76</v>
      </c>
      <c r="E18" s="247" t="s">
        <v>239</v>
      </c>
      <c r="G18" s="270">
        <v>22.17</v>
      </c>
      <c r="H18" s="255">
        <f t="shared" si="1"/>
        <v>5966.17</v>
      </c>
      <c r="I18" s="252">
        <v>0</v>
      </c>
      <c r="J18" s="248">
        <f t="shared" si="0"/>
        <v>22.17</v>
      </c>
    </row>
    <row r="19" spans="1:10" ht="15" customHeight="1" x14ac:dyDescent="0.25">
      <c r="A19" s="304" t="s">
        <v>100</v>
      </c>
      <c r="B19" s="258" t="s">
        <v>230</v>
      </c>
      <c r="C19" s="397">
        <v>532858100</v>
      </c>
      <c r="D19" s="247" t="s">
        <v>240</v>
      </c>
      <c r="E19" s="247" t="s">
        <v>13</v>
      </c>
      <c r="G19" s="270">
        <v>191.64</v>
      </c>
      <c r="H19" s="255">
        <f t="shared" si="1"/>
        <v>5774.53</v>
      </c>
      <c r="I19" s="252">
        <v>0</v>
      </c>
      <c r="J19" s="248">
        <f t="shared" si="0"/>
        <v>191.64</v>
      </c>
    </row>
    <row r="20" spans="1:10" ht="15" customHeight="1" x14ac:dyDescent="0.25">
      <c r="A20" s="304" t="s">
        <v>101</v>
      </c>
      <c r="B20" s="258" t="s">
        <v>241</v>
      </c>
      <c r="C20" s="397" t="s">
        <v>236</v>
      </c>
      <c r="D20" s="247" t="s">
        <v>456</v>
      </c>
      <c r="E20" s="247" t="s">
        <v>242</v>
      </c>
      <c r="G20" s="270">
        <v>242.1</v>
      </c>
      <c r="H20" s="255">
        <f t="shared" si="1"/>
        <v>5532.4299999999994</v>
      </c>
      <c r="I20" s="252">
        <v>0</v>
      </c>
      <c r="J20" s="248">
        <f t="shared" si="0"/>
        <v>242.1</v>
      </c>
    </row>
    <row r="21" spans="1:10" ht="15" customHeight="1" x14ac:dyDescent="0.25">
      <c r="A21" s="304" t="s">
        <v>102</v>
      </c>
      <c r="B21" s="258" t="s">
        <v>243</v>
      </c>
      <c r="C21" s="397">
        <v>704835</v>
      </c>
      <c r="D21" s="247" t="s">
        <v>154</v>
      </c>
      <c r="E21" s="247" t="s">
        <v>244</v>
      </c>
      <c r="G21" s="270">
        <v>11.25</v>
      </c>
      <c r="H21" s="255">
        <f t="shared" si="1"/>
        <v>5521.1799999999994</v>
      </c>
      <c r="I21" s="252">
        <v>1.88</v>
      </c>
      <c r="J21" s="248">
        <f t="shared" si="0"/>
        <v>9.370000000000001</v>
      </c>
    </row>
    <row r="22" spans="1:10" ht="15" customHeight="1" x14ac:dyDescent="0.25">
      <c r="A22" s="305" t="s">
        <v>82</v>
      </c>
      <c r="B22" s="258" t="s">
        <v>277</v>
      </c>
      <c r="C22" s="398"/>
      <c r="D22" s="260" t="s">
        <v>456</v>
      </c>
      <c r="E22" s="260" t="s">
        <v>278</v>
      </c>
      <c r="F22" s="248">
        <v>36.200000000000003</v>
      </c>
      <c r="G22" s="254"/>
      <c r="H22" s="255">
        <f t="shared" si="1"/>
        <v>5557.3799999999992</v>
      </c>
      <c r="I22" s="255"/>
    </row>
    <row r="23" spans="1:10" ht="15" customHeight="1" x14ac:dyDescent="0.25">
      <c r="A23" s="305" t="s">
        <v>91</v>
      </c>
      <c r="B23" s="258" t="s">
        <v>279</v>
      </c>
      <c r="C23" s="398"/>
      <c r="D23" s="260" t="s">
        <v>459</v>
      </c>
      <c r="E23" s="260" t="s">
        <v>280</v>
      </c>
      <c r="F23" s="248">
        <v>281</v>
      </c>
      <c r="G23" s="254"/>
      <c r="H23" s="255">
        <f t="shared" si="1"/>
        <v>5838.3799999999992</v>
      </c>
      <c r="I23" s="255"/>
    </row>
    <row r="24" spans="1:10" ht="15" customHeight="1" x14ac:dyDescent="0.25">
      <c r="A24" s="305" t="s">
        <v>92</v>
      </c>
      <c r="B24" s="258" t="s">
        <v>245</v>
      </c>
      <c r="C24" s="398"/>
      <c r="D24" s="260" t="s">
        <v>458</v>
      </c>
      <c r="E24" s="260" t="s">
        <v>281</v>
      </c>
      <c r="F24" s="248">
        <v>100</v>
      </c>
      <c r="G24" s="254"/>
      <c r="H24" s="255">
        <f t="shared" si="1"/>
        <v>5938.3799999999992</v>
      </c>
      <c r="I24" s="255"/>
    </row>
    <row r="25" spans="1:10" ht="15" customHeight="1" x14ac:dyDescent="0.25">
      <c r="A25" s="304" t="s">
        <v>103</v>
      </c>
      <c r="B25" s="258" t="s">
        <v>245</v>
      </c>
      <c r="C25" s="397" t="s">
        <v>246</v>
      </c>
      <c r="D25" s="247" t="s">
        <v>456</v>
      </c>
      <c r="E25" s="247" t="s">
        <v>247</v>
      </c>
      <c r="G25" s="270">
        <v>242.1</v>
      </c>
      <c r="H25" s="255">
        <f t="shared" si="1"/>
        <v>5696.2799999999988</v>
      </c>
      <c r="I25" s="252">
        <v>0</v>
      </c>
      <c r="J25" s="248">
        <f t="shared" si="0"/>
        <v>242.1</v>
      </c>
    </row>
    <row r="26" spans="1:10" ht="15" customHeight="1" x14ac:dyDescent="0.25">
      <c r="A26" s="304" t="s">
        <v>104</v>
      </c>
      <c r="B26" s="258" t="s">
        <v>248</v>
      </c>
      <c r="C26" s="397"/>
      <c r="D26" s="247" t="s">
        <v>459</v>
      </c>
      <c r="E26" s="247" t="s">
        <v>186</v>
      </c>
      <c r="G26" s="270">
        <v>281</v>
      </c>
      <c r="H26" s="255">
        <f t="shared" si="1"/>
        <v>5415.2799999999988</v>
      </c>
      <c r="I26" s="252">
        <v>0</v>
      </c>
      <c r="J26" s="248">
        <f t="shared" si="0"/>
        <v>281</v>
      </c>
    </row>
    <row r="27" spans="1:10" ht="15" customHeight="1" x14ac:dyDescent="0.25">
      <c r="A27" s="305" t="s">
        <v>94</v>
      </c>
      <c r="B27" s="258" t="s">
        <v>249</v>
      </c>
      <c r="C27" s="398"/>
      <c r="D27" s="260" t="s">
        <v>456</v>
      </c>
      <c r="E27" s="260" t="s">
        <v>283</v>
      </c>
      <c r="F27" s="248">
        <v>55.8</v>
      </c>
      <c r="G27" s="254"/>
      <c r="H27" s="255">
        <f t="shared" si="1"/>
        <v>5471.079999999999</v>
      </c>
      <c r="I27" s="255"/>
    </row>
    <row r="28" spans="1:10" ht="15" customHeight="1" x14ac:dyDescent="0.25">
      <c r="A28" s="304" t="s">
        <v>105</v>
      </c>
      <c r="B28" s="258" t="s">
        <v>249</v>
      </c>
      <c r="C28" s="397" t="s">
        <v>250</v>
      </c>
      <c r="D28" s="247" t="s">
        <v>456</v>
      </c>
      <c r="E28" s="247" t="s">
        <v>237</v>
      </c>
      <c r="G28" s="270">
        <v>78.89</v>
      </c>
      <c r="H28" s="255">
        <f t="shared" si="1"/>
        <v>5392.1899999999987</v>
      </c>
      <c r="I28" s="252">
        <v>0</v>
      </c>
      <c r="J28" s="248">
        <f t="shared" si="0"/>
        <v>78.89</v>
      </c>
    </row>
    <row r="29" spans="1:10" ht="15" customHeight="1" x14ac:dyDescent="0.25">
      <c r="A29" s="304" t="s">
        <v>106</v>
      </c>
      <c r="B29" s="258" t="s">
        <v>249</v>
      </c>
      <c r="C29" s="397" t="s">
        <v>251</v>
      </c>
      <c r="D29" s="247" t="s">
        <v>462</v>
      </c>
      <c r="E29" s="247" t="s">
        <v>252</v>
      </c>
      <c r="G29" s="270">
        <v>159.66999999999999</v>
      </c>
      <c r="H29" s="255">
        <f t="shared" si="1"/>
        <v>5232.5199999999986</v>
      </c>
      <c r="I29" s="252">
        <v>0</v>
      </c>
      <c r="J29" s="248">
        <f t="shared" si="0"/>
        <v>159.66999999999999</v>
      </c>
    </row>
    <row r="30" spans="1:10" ht="15" customHeight="1" x14ac:dyDescent="0.25">
      <c r="A30" s="304" t="s">
        <v>107</v>
      </c>
      <c r="B30" s="258" t="s">
        <v>249</v>
      </c>
      <c r="C30" s="397"/>
      <c r="D30" s="247" t="s">
        <v>76</v>
      </c>
      <c r="E30" s="247" t="s">
        <v>253</v>
      </c>
      <c r="G30" s="270">
        <v>55.8</v>
      </c>
      <c r="H30" s="255">
        <f t="shared" si="1"/>
        <v>5176.7199999999984</v>
      </c>
      <c r="I30" s="252">
        <v>0</v>
      </c>
      <c r="J30" s="248">
        <f t="shared" si="0"/>
        <v>55.8</v>
      </c>
    </row>
    <row r="31" spans="1:10" ht="15" customHeight="1" x14ac:dyDescent="0.25">
      <c r="A31" s="304" t="s">
        <v>108</v>
      </c>
      <c r="B31" s="258" t="s">
        <v>254</v>
      </c>
      <c r="C31" s="397"/>
      <c r="D31" s="247" t="s">
        <v>255</v>
      </c>
      <c r="E31" s="247" t="s">
        <v>256</v>
      </c>
      <c r="G31" s="270">
        <v>10.8</v>
      </c>
      <c r="H31" s="255">
        <f t="shared" si="1"/>
        <v>5165.9199999999983</v>
      </c>
      <c r="I31" s="252">
        <v>0</v>
      </c>
      <c r="J31" s="248">
        <f t="shared" si="0"/>
        <v>10.8</v>
      </c>
    </row>
    <row r="32" spans="1:10" ht="15" customHeight="1" x14ac:dyDescent="0.25">
      <c r="A32" s="305" t="s">
        <v>95</v>
      </c>
      <c r="B32" s="258" t="s">
        <v>284</v>
      </c>
      <c r="C32" s="398"/>
      <c r="D32" s="260" t="s">
        <v>456</v>
      </c>
      <c r="E32" s="260" t="s">
        <v>285</v>
      </c>
      <c r="F32" s="248">
        <v>22.21</v>
      </c>
      <c r="G32" s="254"/>
      <c r="H32" s="255">
        <f t="shared" si="1"/>
        <v>5188.1299999999983</v>
      </c>
      <c r="I32" s="255"/>
    </row>
    <row r="33" spans="1:10" ht="15" customHeight="1" x14ac:dyDescent="0.25">
      <c r="A33" s="304" t="s">
        <v>109</v>
      </c>
      <c r="B33" s="258" t="s">
        <v>257</v>
      </c>
      <c r="C33" s="397"/>
      <c r="D33" s="247" t="s">
        <v>156</v>
      </c>
      <c r="E33" s="273" t="s">
        <v>258</v>
      </c>
      <c r="G33" s="270">
        <v>79.989999999999995</v>
      </c>
      <c r="H33" s="255">
        <f t="shared" si="1"/>
        <v>5108.1399999999985</v>
      </c>
      <c r="I33" s="252">
        <v>13.33</v>
      </c>
      <c r="J33" s="248">
        <f t="shared" si="0"/>
        <v>66.66</v>
      </c>
    </row>
    <row r="34" spans="1:10" ht="15" customHeight="1" x14ac:dyDescent="0.25">
      <c r="A34" s="304" t="s">
        <v>110</v>
      </c>
      <c r="B34" s="269" t="s">
        <v>259</v>
      </c>
      <c r="D34" s="247" t="s">
        <v>76</v>
      </c>
      <c r="E34" s="247" t="s">
        <v>260</v>
      </c>
      <c r="G34" s="270">
        <v>22.21</v>
      </c>
      <c r="H34" s="255">
        <f t="shared" si="1"/>
        <v>5085.9299999999985</v>
      </c>
      <c r="I34" s="252">
        <v>0</v>
      </c>
      <c r="J34" s="248">
        <f t="shared" si="0"/>
        <v>22.21</v>
      </c>
    </row>
    <row r="35" spans="1:10" ht="15" customHeight="1" x14ac:dyDescent="0.25">
      <c r="A35" s="304" t="s">
        <v>111</v>
      </c>
      <c r="B35" s="269" t="s">
        <v>261</v>
      </c>
      <c r="D35" s="247" t="s">
        <v>262</v>
      </c>
      <c r="E35" s="247" t="s">
        <v>263</v>
      </c>
      <c r="G35" s="270">
        <v>300</v>
      </c>
      <c r="H35" s="255">
        <f t="shared" si="1"/>
        <v>4785.9299999999985</v>
      </c>
      <c r="I35" s="252">
        <v>0</v>
      </c>
      <c r="J35" s="248">
        <f t="shared" si="0"/>
        <v>300</v>
      </c>
    </row>
    <row r="36" spans="1:10" ht="15" customHeight="1" x14ac:dyDescent="0.25">
      <c r="A36" s="304" t="s">
        <v>112</v>
      </c>
      <c r="B36" s="269" t="s">
        <v>264</v>
      </c>
      <c r="C36" s="399" t="s">
        <v>265</v>
      </c>
      <c r="D36" s="247" t="s">
        <v>456</v>
      </c>
      <c r="E36" s="247" t="s">
        <v>266</v>
      </c>
      <c r="G36" s="270">
        <v>254.75</v>
      </c>
      <c r="H36" s="255">
        <f t="shared" si="1"/>
        <v>4531.1799999999985</v>
      </c>
      <c r="I36" s="252">
        <v>0</v>
      </c>
      <c r="J36" s="248">
        <f t="shared" si="0"/>
        <v>254.75</v>
      </c>
    </row>
    <row r="37" spans="1:10" ht="15" customHeight="1" x14ac:dyDescent="0.25">
      <c r="A37" s="305" t="s">
        <v>96</v>
      </c>
      <c r="B37" s="258" t="s">
        <v>286</v>
      </c>
      <c r="C37" s="398"/>
      <c r="D37" s="260" t="s">
        <v>458</v>
      </c>
      <c r="E37" s="260" t="s">
        <v>287</v>
      </c>
      <c r="F37" s="248">
        <v>100</v>
      </c>
      <c r="G37" s="254"/>
      <c r="H37" s="255">
        <f t="shared" si="1"/>
        <v>4631.1799999999985</v>
      </c>
      <c r="I37" s="255"/>
    </row>
    <row r="38" spans="1:10" ht="15" customHeight="1" x14ac:dyDescent="0.25">
      <c r="A38" s="304" t="s">
        <v>113</v>
      </c>
      <c r="B38" s="269" t="s">
        <v>267</v>
      </c>
      <c r="C38" s="399" t="s">
        <v>268</v>
      </c>
      <c r="D38" s="247" t="s">
        <v>456</v>
      </c>
      <c r="E38" s="247" t="s">
        <v>269</v>
      </c>
      <c r="G38" s="270">
        <v>254.75</v>
      </c>
      <c r="H38" s="255">
        <f t="shared" si="1"/>
        <v>4376.4299999999985</v>
      </c>
      <c r="I38" s="252">
        <v>0</v>
      </c>
      <c r="J38" s="248">
        <f t="shared" si="0"/>
        <v>254.75</v>
      </c>
    </row>
    <row r="39" spans="1:10" ht="15" customHeight="1" x14ac:dyDescent="0.25">
      <c r="A39" s="305" t="s">
        <v>97</v>
      </c>
      <c r="B39" s="258" t="s">
        <v>288</v>
      </c>
      <c r="C39" s="398"/>
      <c r="D39" s="260" t="s">
        <v>458</v>
      </c>
      <c r="E39" s="260" t="s">
        <v>289</v>
      </c>
      <c r="F39" s="248">
        <v>220</v>
      </c>
      <c r="G39" s="254"/>
      <c r="H39" s="255">
        <f t="shared" si="1"/>
        <v>4596.4299999999985</v>
      </c>
      <c r="I39" s="255">
        <v>0</v>
      </c>
      <c r="J39" s="248">
        <f t="shared" si="0"/>
        <v>0</v>
      </c>
    </row>
    <row r="40" spans="1:10" ht="15" customHeight="1" x14ac:dyDescent="0.25">
      <c r="A40" s="305" t="s">
        <v>296</v>
      </c>
      <c r="B40" s="258" t="s">
        <v>297</v>
      </c>
      <c r="C40" s="398" t="s">
        <v>298</v>
      </c>
      <c r="D40" s="260" t="s">
        <v>456</v>
      </c>
      <c r="E40" s="260" t="s">
        <v>237</v>
      </c>
      <c r="G40" s="254">
        <v>58.39</v>
      </c>
      <c r="H40" s="255">
        <f t="shared" si="1"/>
        <v>4538.0399999999981</v>
      </c>
      <c r="I40" s="255">
        <v>0</v>
      </c>
      <c r="J40" s="248">
        <f t="shared" si="0"/>
        <v>58.39</v>
      </c>
    </row>
    <row r="41" spans="1:10" ht="15" customHeight="1" x14ac:dyDescent="0.25">
      <c r="A41" s="305" t="s">
        <v>299</v>
      </c>
      <c r="B41" s="258" t="s">
        <v>297</v>
      </c>
      <c r="C41" s="398" t="s">
        <v>333</v>
      </c>
      <c r="D41" s="260" t="s">
        <v>300</v>
      </c>
      <c r="E41" s="260" t="s">
        <v>191</v>
      </c>
      <c r="G41" s="254">
        <v>550</v>
      </c>
      <c r="H41" s="255">
        <f t="shared" si="1"/>
        <v>3988.0399999999981</v>
      </c>
      <c r="I41" s="255">
        <v>91.67</v>
      </c>
      <c r="J41" s="248">
        <f t="shared" si="0"/>
        <v>458.33</v>
      </c>
    </row>
    <row r="42" spans="1:10" ht="15" customHeight="1" x14ac:dyDescent="0.25">
      <c r="A42" s="304" t="s">
        <v>301</v>
      </c>
      <c r="B42" s="269" t="s">
        <v>297</v>
      </c>
      <c r="C42" s="399">
        <v>21000</v>
      </c>
      <c r="D42" s="247" t="s">
        <v>457</v>
      </c>
      <c r="E42" s="247" t="s">
        <v>302</v>
      </c>
      <c r="G42" s="254">
        <v>56</v>
      </c>
      <c r="H42" s="255">
        <f t="shared" si="1"/>
        <v>3932.0399999999981</v>
      </c>
      <c r="I42" s="255">
        <v>0</v>
      </c>
      <c r="J42" s="248">
        <f t="shared" si="0"/>
        <v>56</v>
      </c>
    </row>
    <row r="43" spans="1:10" ht="15" customHeight="1" x14ac:dyDescent="0.25">
      <c r="A43" s="304" t="s">
        <v>303</v>
      </c>
      <c r="B43" s="269" t="s">
        <v>297</v>
      </c>
      <c r="C43" s="399">
        <v>701086790</v>
      </c>
      <c r="D43" s="247" t="s">
        <v>458</v>
      </c>
      <c r="E43" s="247" t="s">
        <v>304</v>
      </c>
      <c r="G43" s="254">
        <v>162</v>
      </c>
      <c r="H43" s="255">
        <f t="shared" si="1"/>
        <v>3770.0399999999981</v>
      </c>
      <c r="I43" s="255">
        <v>27</v>
      </c>
      <c r="J43" s="248">
        <f t="shared" si="0"/>
        <v>135</v>
      </c>
    </row>
    <row r="44" spans="1:10" ht="15" customHeight="1" x14ac:dyDescent="0.25">
      <c r="A44" s="304" t="s">
        <v>305</v>
      </c>
      <c r="B44" s="269" t="s">
        <v>297</v>
      </c>
      <c r="C44" s="401"/>
      <c r="D44" s="247" t="s">
        <v>76</v>
      </c>
      <c r="E44" s="247" t="s">
        <v>306</v>
      </c>
      <c r="G44" s="254">
        <v>49.6</v>
      </c>
      <c r="H44" s="255">
        <f t="shared" si="1"/>
        <v>3720.4399999999982</v>
      </c>
      <c r="I44" s="255">
        <v>0</v>
      </c>
      <c r="J44" s="248">
        <f t="shared" si="0"/>
        <v>49.6</v>
      </c>
    </row>
    <row r="45" spans="1:10" ht="15" customHeight="1" x14ac:dyDescent="0.25">
      <c r="A45" s="304" t="s">
        <v>307</v>
      </c>
      <c r="B45" s="269" t="s">
        <v>297</v>
      </c>
      <c r="C45" s="399">
        <v>13863</v>
      </c>
      <c r="D45" s="247" t="s">
        <v>463</v>
      </c>
      <c r="E45" s="247" t="s">
        <v>308</v>
      </c>
      <c r="G45" s="254">
        <v>27</v>
      </c>
      <c r="H45" s="255">
        <f t="shared" si="1"/>
        <v>3693.4399999999982</v>
      </c>
      <c r="I45" s="255">
        <v>0</v>
      </c>
      <c r="J45" s="248">
        <f t="shared" si="0"/>
        <v>27</v>
      </c>
    </row>
    <row r="46" spans="1:10" ht="15" customHeight="1" x14ac:dyDescent="0.25">
      <c r="A46" s="304" t="s">
        <v>309</v>
      </c>
      <c r="B46" s="269" t="s">
        <v>310</v>
      </c>
      <c r="C46" s="399">
        <v>9052471</v>
      </c>
      <c r="D46" s="247" t="s">
        <v>311</v>
      </c>
      <c r="E46" s="247" t="s">
        <v>323</v>
      </c>
      <c r="G46" s="254">
        <v>82.75</v>
      </c>
      <c r="H46" s="255">
        <f t="shared" si="1"/>
        <v>3610.6899999999982</v>
      </c>
      <c r="I46" s="255"/>
      <c r="J46" s="248">
        <f t="shared" si="0"/>
        <v>82.75</v>
      </c>
    </row>
    <row r="47" spans="1:10" ht="15" customHeight="1" x14ac:dyDescent="0.25">
      <c r="A47" s="304" t="s">
        <v>312</v>
      </c>
      <c r="B47" s="269" t="s">
        <v>310</v>
      </c>
      <c r="C47" s="399">
        <v>8121</v>
      </c>
      <c r="D47" s="247" t="s">
        <v>313</v>
      </c>
      <c r="E47" s="247" t="s">
        <v>323</v>
      </c>
      <c r="G47" s="254">
        <v>211</v>
      </c>
      <c r="H47" s="255">
        <f t="shared" si="1"/>
        <v>3399.6899999999982</v>
      </c>
      <c r="I47" s="255"/>
      <c r="J47" s="248">
        <f t="shared" si="0"/>
        <v>211</v>
      </c>
    </row>
    <row r="48" spans="1:10" ht="15" customHeight="1" x14ac:dyDescent="0.25">
      <c r="A48" s="304" t="s">
        <v>324</v>
      </c>
      <c r="B48" s="269" t="s">
        <v>314</v>
      </c>
      <c r="C48" s="401"/>
      <c r="D48" s="247" t="s">
        <v>458</v>
      </c>
      <c r="E48" s="247" t="s">
        <v>315</v>
      </c>
      <c r="F48" s="248">
        <v>3500</v>
      </c>
      <c r="G48" s="254"/>
      <c r="H48" s="255">
        <f t="shared" si="1"/>
        <v>6899.6899999999987</v>
      </c>
      <c r="I48" s="255"/>
      <c r="J48" s="248">
        <f t="shared" si="0"/>
        <v>0</v>
      </c>
    </row>
    <row r="49" spans="1:10" ht="15" customHeight="1" x14ac:dyDescent="0.25">
      <c r="A49" s="304" t="s">
        <v>316</v>
      </c>
      <c r="B49" s="269" t="s">
        <v>317</v>
      </c>
      <c r="C49" s="401" t="s">
        <v>334</v>
      </c>
      <c r="D49" s="247" t="s">
        <v>464</v>
      </c>
      <c r="E49" s="247" t="s">
        <v>318</v>
      </c>
      <c r="G49" s="254">
        <v>35</v>
      </c>
      <c r="H49" s="255">
        <f t="shared" si="1"/>
        <v>6864.6899999999987</v>
      </c>
      <c r="I49" s="255">
        <v>0</v>
      </c>
      <c r="J49" s="248">
        <f t="shared" si="0"/>
        <v>35</v>
      </c>
    </row>
    <row r="50" spans="1:10" ht="15" customHeight="1" x14ac:dyDescent="0.25">
      <c r="A50" s="304" t="s">
        <v>319</v>
      </c>
      <c r="B50" s="269" t="s">
        <v>317</v>
      </c>
      <c r="C50" s="401"/>
      <c r="D50" s="247" t="s">
        <v>456</v>
      </c>
      <c r="E50" s="247" t="s">
        <v>320</v>
      </c>
      <c r="G50" s="254">
        <v>73.5</v>
      </c>
      <c r="H50" s="255">
        <f t="shared" si="1"/>
        <v>6791.1899999999987</v>
      </c>
      <c r="I50" s="255"/>
      <c r="J50" s="248">
        <f t="shared" si="0"/>
        <v>73.5</v>
      </c>
    </row>
    <row r="51" spans="1:10" ht="15" customHeight="1" x14ac:dyDescent="0.25">
      <c r="A51" s="304" t="s">
        <v>321</v>
      </c>
      <c r="B51" s="269" t="s">
        <v>317</v>
      </c>
      <c r="C51" s="401"/>
      <c r="D51" s="247" t="s">
        <v>456</v>
      </c>
      <c r="E51" s="247" t="s">
        <v>322</v>
      </c>
      <c r="G51" s="254">
        <v>254.75</v>
      </c>
      <c r="H51" s="255">
        <f t="shared" si="1"/>
        <v>6536.4399999999987</v>
      </c>
      <c r="I51" s="255"/>
      <c r="J51" s="248">
        <f t="shared" si="0"/>
        <v>254.75</v>
      </c>
    </row>
    <row r="52" spans="1:10" ht="15" customHeight="1" x14ac:dyDescent="0.25">
      <c r="A52" s="304" t="s">
        <v>325</v>
      </c>
      <c r="B52" s="269" t="s">
        <v>326</v>
      </c>
      <c r="C52" s="401"/>
      <c r="D52" s="247" t="s">
        <v>456</v>
      </c>
      <c r="E52" s="247" t="s">
        <v>306</v>
      </c>
      <c r="F52" s="248">
        <v>49.6</v>
      </c>
      <c r="G52" s="254"/>
      <c r="H52" s="255">
        <f t="shared" si="1"/>
        <v>6586.0399999999991</v>
      </c>
      <c r="I52" s="255"/>
      <c r="J52" s="248">
        <f t="shared" si="0"/>
        <v>0</v>
      </c>
    </row>
    <row r="53" spans="1:10" ht="15" customHeight="1" x14ac:dyDescent="0.25">
      <c r="A53" s="304" t="s">
        <v>327</v>
      </c>
      <c r="B53" s="269" t="s">
        <v>328</v>
      </c>
      <c r="C53" s="399">
        <v>2404</v>
      </c>
      <c r="D53" s="247" t="s">
        <v>329</v>
      </c>
      <c r="E53" s="247" t="s">
        <v>330</v>
      </c>
      <c r="F53" s="248">
        <v>3000</v>
      </c>
      <c r="G53" s="254"/>
      <c r="H53" s="255">
        <f t="shared" si="1"/>
        <v>9586.0399999999991</v>
      </c>
      <c r="I53" s="255"/>
      <c r="J53" s="248">
        <f t="shared" si="0"/>
        <v>0</v>
      </c>
    </row>
    <row r="54" spans="1:10" ht="15" customHeight="1" x14ac:dyDescent="0.25">
      <c r="A54" s="304" t="s">
        <v>331</v>
      </c>
      <c r="B54" s="269" t="s">
        <v>332</v>
      </c>
      <c r="C54" s="401">
        <v>2405</v>
      </c>
      <c r="D54" s="247" t="s">
        <v>465</v>
      </c>
      <c r="E54" s="247" t="s">
        <v>302</v>
      </c>
      <c r="F54" s="248">
        <v>18.670000000000002</v>
      </c>
      <c r="G54" s="254"/>
      <c r="H54" s="255">
        <f t="shared" ref="H54:H94" si="2">IF($F54&gt;0,$H53+$F54,IF($G54&gt;0,$H53-$G54,$H53))</f>
        <v>9604.7099999999991</v>
      </c>
      <c r="I54" s="255"/>
      <c r="J54" s="248">
        <f t="shared" si="0"/>
        <v>0</v>
      </c>
    </row>
    <row r="55" spans="1:10" ht="15" customHeight="1" x14ac:dyDescent="0.25">
      <c r="A55" s="304" t="s">
        <v>337</v>
      </c>
      <c r="B55" s="269" t="s">
        <v>338</v>
      </c>
      <c r="C55" s="401"/>
      <c r="D55" s="247" t="s">
        <v>186</v>
      </c>
      <c r="E55" s="247" t="s">
        <v>339</v>
      </c>
      <c r="G55" s="254">
        <v>3000</v>
      </c>
      <c r="H55" s="255">
        <f t="shared" si="2"/>
        <v>6604.7099999999991</v>
      </c>
      <c r="I55" s="255"/>
      <c r="J55" s="248">
        <f t="shared" si="0"/>
        <v>3000</v>
      </c>
    </row>
    <row r="56" spans="1:10" ht="15" customHeight="1" x14ac:dyDescent="0.25">
      <c r="A56" s="304" t="s">
        <v>346</v>
      </c>
      <c r="B56" s="269" t="s">
        <v>347</v>
      </c>
      <c r="C56" s="401" t="s">
        <v>348</v>
      </c>
      <c r="D56" s="247" t="s">
        <v>456</v>
      </c>
      <c r="E56" s="247" t="s">
        <v>349</v>
      </c>
      <c r="G56" s="254">
        <v>73.5</v>
      </c>
      <c r="H56" s="255">
        <f t="shared" si="2"/>
        <v>6531.2099999999991</v>
      </c>
      <c r="I56" s="255"/>
      <c r="J56" s="248">
        <f t="shared" si="0"/>
        <v>73.5</v>
      </c>
    </row>
    <row r="57" spans="1:10" ht="15" customHeight="1" x14ac:dyDescent="0.25">
      <c r="A57" s="304" t="s">
        <v>350</v>
      </c>
      <c r="B57" s="269" t="s">
        <v>347</v>
      </c>
      <c r="C57" s="401" t="s">
        <v>348</v>
      </c>
      <c r="D57" s="247" t="s">
        <v>456</v>
      </c>
      <c r="E57" s="247" t="s">
        <v>351</v>
      </c>
      <c r="G57" s="254">
        <v>254.75</v>
      </c>
      <c r="H57" s="255">
        <f t="shared" si="2"/>
        <v>6276.4599999999991</v>
      </c>
      <c r="I57" s="255"/>
      <c r="J57" s="248">
        <f t="shared" si="0"/>
        <v>254.75</v>
      </c>
    </row>
    <row r="58" spans="1:10" ht="15" customHeight="1" x14ac:dyDescent="0.25">
      <c r="A58" s="304" t="s">
        <v>352</v>
      </c>
      <c r="B58" s="269" t="s">
        <v>353</v>
      </c>
      <c r="C58" s="401"/>
      <c r="D58" s="247" t="s">
        <v>76</v>
      </c>
      <c r="E58" s="247" t="s">
        <v>355</v>
      </c>
      <c r="F58" s="248">
        <v>133.88</v>
      </c>
      <c r="G58" s="254"/>
      <c r="H58" s="255">
        <f t="shared" si="2"/>
        <v>6410.3399999999992</v>
      </c>
      <c r="I58" s="255"/>
      <c r="J58" s="248">
        <f t="shared" si="0"/>
        <v>0</v>
      </c>
    </row>
    <row r="59" spans="1:10" ht="15" customHeight="1" x14ac:dyDescent="0.25">
      <c r="A59" s="304" t="s">
        <v>354</v>
      </c>
      <c r="B59" s="269" t="s">
        <v>353</v>
      </c>
      <c r="C59" s="401"/>
      <c r="D59" s="247" t="s">
        <v>76</v>
      </c>
      <c r="E59" s="247" t="s">
        <v>356</v>
      </c>
      <c r="G59" s="254">
        <v>24.82</v>
      </c>
      <c r="H59" s="255">
        <f t="shared" si="2"/>
        <v>6385.5199999999995</v>
      </c>
      <c r="I59" s="255"/>
      <c r="J59" s="248">
        <f t="shared" si="0"/>
        <v>24.82</v>
      </c>
    </row>
    <row r="60" spans="1:10" ht="15" customHeight="1" x14ac:dyDescent="0.25">
      <c r="A60" s="304" t="s">
        <v>357</v>
      </c>
      <c r="B60" s="269" t="s">
        <v>358</v>
      </c>
      <c r="C60" s="401"/>
      <c r="D60" s="247" t="s">
        <v>456</v>
      </c>
      <c r="E60" s="247" t="s">
        <v>359</v>
      </c>
      <c r="F60" s="248">
        <v>24.82</v>
      </c>
      <c r="G60" s="254"/>
      <c r="H60" s="255">
        <f t="shared" si="2"/>
        <v>6410.3399999999992</v>
      </c>
      <c r="I60" s="255"/>
      <c r="J60" s="248">
        <f t="shared" si="0"/>
        <v>0</v>
      </c>
    </row>
    <row r="61" spans="1:10" ht="15" customHeight="1" x14ac:dyDescent="0.25">
      <c r="A61" s="304" t="s">
        <v>360</v>
      </c>
      <c r="B61" s="269" t="s">
        <v>361</v>
      </c>
      <c r="C61" s="399">
        <v>2406</v>
      </c>
      <c r="D61" s="247" t="s">
        <v>462</v>
      </c>
      <c r="E61" s="247" t="s">
        <v>362</v>
      </c>
      <c r="F61" s="248">
        <v>18.670000000000002</v>
      </c>
      <c r="G61" s="254"/>
      <c r="H61" s="255">
        <f t="shared" si="2"/>
        <v>6429.0099999999993</v>
      </c>
      <c r="I61" s="255"/>
      <c r="J61" s="248">
        <f t="shared" si="0"/>
        <v>0</v>
      </c>
    </row>
    <row r="62" spans="1:10" ht="15" customHeight="1" x14ac:dyDescent="0.25">
      <c r="A62" s="304" t="s">
        <v>363</v>
      </c>
      <c r="B62" s="269" t="s">
        <v>364</v>
      </c>
      <c r="C62" s="401"/>
      <c r="D62" s="247" t="s">
        <v>456</v>
      </c>
      <c r="E62" s="247" t="s">
        <v>365</v>
      </c>
      <c r="G62" s="254">
        <v>64.239999999999995</v>
      </c>
      <c r="H62" s="255">
        <f t="shared" si="2"/>
        <v>6364.7699999999995</v>
      </c>
      <c r="I62" s="255"/>
      <c r="J62" s="248">
        <f t="shared" si="0"/>
        <v>64.239999999999995</v>
      </c>
    </row>
    <row r="63" spans="1:10" ht="15" customHeight="1" x14ac:dyDescent="0.25">
      <c r="A63" s="304" t="s">
        <v>366</v>
      </c>
      <c r="B63" s="269" t="s">
        <v>364</v>
      </c>
      <c r="C63" s="401"/>
      <c r="D63" s="247" t="s">
        <v>456</v>
      </c>
      <c r="E63" s="247" t="s">
        <v>367</v>
      </c>
      <c r="G63" s="254">
        <v>83.51</v>
      </c>
      <c r="H63" s="255">
        <f t="shared" si="2"/>
        <v>6281.2599999999993</v>
      </c>
      <c r="I63" s="255"/>
      <c r="J63" s="248">
        <f t="shared" si="0"/>
        <v>83.51</v>
      </c>
    </row>
    <row r="64" spans="1:10" ht="15" customHeight="1" x14ac:dyDescent="0.25">
      <c r="A64" s="304" t="s">
        <v>368</v>
      </c>
      <c r="B64" s="269" t="s">
        <v>364</v>
      </c>
      <c r="C64" s="399">
        <v>28882</v>
      </c>
      <c r="D64" s="247" t="s">
        <v>300</v>
      </c>
      <c r="E64" s="247" t="s">
        <v>369</v>
      </c>
      <c r="G64" s="254">
        <v>550</v>
      </c>
      <c r="H64" s="255">
        <f t="shared" si="2"/>
        <v>5731.2599999999993</v>
      </c>
      <c r="I64" s="255">
        <v>91.67</v>
      </c>
      <c r="J64" s="248">
        <f t="shared" si="0"/>
        <v>458.33</v>
      </c>
    </row>
    <row r="65" spans="1:10" ht="15" customHeight="1" x14ac:dyDescent="0.25">
      <c r="A65" s="304" t="s">
        <v>370</v>
      </c>
      <c r="B65" s="269" t="s">
        <v>364</v>
      </c>
      <c r="C65" s="401"/>
      <c r="D65" s="247" t="s">
        <v>76</v>
      </c>
      <c r="E65" s="247" t="s">
        <v>371</v>
      </c>
      <c r="G65" s="254">
        <v>39.58</v>
      </c>
      <c r="H65" s="255">
        <f t="shared" si="2"/>
        <v>5691.6799999999994</v>
      </c>
      <c r="I65" s="255"/>
      <c r="J65" s="248">
        <f t="shared" si="0"/>
        <v>39.58</v>
      </c>
    </row>
    <row r="66" spans="1:10" ht="15" customHeight="1" x14ac:dyDescent="0.25">
      <c r="A66" s="304" t="s">
        <v>372</v>
      </c>
      <c r="B66" s="269" t="s">
        <v>364</v>
      </c>
      <c r="C66" s="401"/>
      <c r="D66" s="247" t="s">
        <v>456</v>
      </c>
      <c r="E66" s="247" t="s">
        <v>371</v>
      </c>
      <c r="F66" s="248">
        <v>39.58</v>
      </c>
      <c r="G66" s="254"/>
      <c r="H66" s="255">
        <f t="shared" si="2"/>
        <v>5731.2599999999993</v>
      </c>
      <c r="I66" s="255"/>
      <c r="J66" s="248">
        <f t="shared" si="0"/>
        <v>0</v>
      </c>
    </row>
    <row r="67" spans="1:10" ht="15" customHeight="1" x14ac:dyDescent="0.25">
      <c r="A67" s="304" t="s">
        <v>373</v>
      </c>
      <c r="B67" s="269" t="s">
        <v>375</v>
      </c>
      <c r="C67" s="401"/>
      <c r="D67" s="247" t="s">
        <v>456</v>
      </c>
      <c r="E67" s="247" t="s">
        <v>374</v>
      </c>
      <c r="G67" s="254">
        <v>76.650000000000006</v>
      </c>
      <c r="H67" s="255">
        <f t="shared" si="2"/>
        <v>5654.61</v>
      </c>
      <c r="I67" s="255"/>
      <c r="J67" s="248">
        <f t="shared" si="0"/>
        <v>76.650000000000006</v>
      </c>
    </row>
    <row r="68" spans="1:10" ht="15" customHeight="1" x14ac:dyDescent="0.25">
      <c r="A68" s="304" t="s">
        <v>376</v>
      </c>
      <c r="B68" s="269" t="s">
        <v>375</v>
      </c>
      <c r="C68" s="401"/>
      <c r="D68" s="247" t="s">
        <v>456</v>
      </c>
      <c r="E68" s="247" t="s">
        <v>377</v>
      </c>
      <c r="G68" s="254">
        <v>265.67</v>
      </c>
      <c r="H68" s="255">
        <f t="shared" si="2"/>
        <v>5388.94</v>
      </c>
      <c r="I68" s="255"/>
      <c r="J68" s="248">
        <f t="shared" si="0"/>
        <v>265.67</v>
      </c>
    </row>
    <row r="69" spans="1:10" ht="15" customHeight="1" x14ac:dyDescent="0.25">
      <c r="A69" s="304" t="s">
        <v>378</v>
      </c>
      <c r="B69" s="269" t="s">
        <v>375</v>
      </c>
      <c r="C69" s="399">
        <v>920243385</v>
      </c>
      <c r="D69" s="247" t="s">
        <v>466</v>
      </c>
      <c r="E69" s="247" t="s">
        <v>379</v>
      </c>
      <c r="G69" s="254">
        <v>289</v>
      </c>
      <c r="H69" s="255">
        <f t="shared" si="2"/>
        <v>5099.9399999999996</v>
      </c>
      <c r="I69" s="255"/>
      <c r="J69" s="248">
        <f t="shared" si="0"/>
        <v>289</v>
      </c>
    </row>
    <row r="70" spans="1:10" ht="15" customHeight="1" x14ac:dyDescent="0.25">
      <c r="A70" s="304" t="s">
        <v>380</v>
      </c>
      <c r="B70" s="269" t="s">
        <v>375</v>
      </c>
      <c r="C70" s="399">
        <v>2143</v>
      </c>
      <c r="D70" s="247" t="s">
        <v>467</v>
      </c>
      <c r="E70" s="247" t="s">
        <v>381</v>
      </c>
      <c r="G70" s="254">
        <v>84.4</v>
      </c>
      <c r="H70" s="255">
        <f t="shared" si="2"/>
        <v>5015.54</v>
      </c>
      <c r="I70" s="255">
        <v>2.4</v>
      </c>
      <c r="J70" s="248">
        <f t="shared" si="0"/>
        <v>82</v>
      </c>
    </row>
    <row r="71" spans="1:10" ht="15" customHeight="1" x14ac:dyDescent="0.25">
      <c r="A71" s="304" t="s">
        <v>382</v>
      </c>
      <c r="B71" s="269" t="s">
        <v>375</v>
      </c>
      <c r="C71" s="399">
        <v>2405</v>
      </c>
      <c r="D71" s="247" t="s">
        <v>465</v>
      </c>
      <c r="E71" s="247" t="s">
        <v>383</v>
      </c>
      <c r="G71" s="254">
        <v>95</v>
      </c>
      <c r="H71" s="255">
        <f t="shared" si="2"/>
        <v>4920.54</v>
      </c>
      <c r="I71" s="255"/>
      <c r="J71" s="248">
        <f t="shared" si="0"/>
        <v>95</v>
      </c>
    </row>
    <row r="72" spans="1:10" ht="15" customHeight="1" x14ac:dyDescent="0.25">
      <c r="A72" s="304" t="s">
        <v>384</v>
      </c>
      <c r="B72" s="269" t="s">
        <v>375</v>
      </c>
      <c r="C72" s="399">
        <v>2142</v>
      </c>
      <c r="D72" s="247" t="s">
        <v>467</v>
      </c>
      <c r="E72" s="247" t="s">
        <v>385</v>
      </c>
      <c r="G72" s="254">
        <v>35.1</v>
      </c>
      <c r="H72" s="255">
        <f t="shared" si="2"/>
        <v>4885.4399999999996</v>
      </c>
      <c r="I72" s="255"/>
      <c r="J72" s="248">
        <f t="shared" si="0"/>
        <v>35.1</v>
      </c>
    </row>
    <row r="73" spans="1:10" ht="15" customHeight="1" x14ac:dyDescent="0.25">
      <c r="A73" s="304" t="s">
        <v>399</v>
      </c>
      <c r="B73" s="269" t="s">
        <v>395</v>
      </c>
      <c r="C73" s="401"/>
      <c r="D73" s="247" t="s">
        <v>396</v>
      </c>
      <c r="E73" s="247" t="s">
        <v>460</v>
      </c>
      <c r="F73" s="248">
        <v>30</v>
      </c>
      <c r="G73" s="254"/>
      <c r="H73" s="255">
        <f t="shared" si="2"/>
        <v>4915.4399999999996</v>
      </c>
      <c r="I73" s="255"/>
      <c r="J73" s="248">
        <f t="shared" si="0"/>
        <v>0</v>
      </c>
    </row>
    <row r="74" spans="1:10" ht="15" customHeight="1" x14ac:dyDescent="0.25">
      <c r="A74" s="304" t="s">
        <v>397</v>
      </c>
      <c r="B74" s="269" t="s">
        <v>398</v>
      </c>
      <c r="C74" s="401"/>
      <c r="D74" s="247" t="s">
        <v>186</v>
      </c>
      <c r="E74" s="247" t="s">
        <v>461</v>
      </c>
      <c r="G74" s="254">
        <v>30</v>
      </c>
      <c r="H74" s="255">
        <f t="shared" si="2"/>
        <v>4885.4399999999996</v>
      </c>
      <c r="I74" s="255"/>
      <c r="J74" s="248">
        <f t="shared" si="0"/>
        <v>30</v>
      </c>
    </row>
    <row r="75" spans="1:10" ht="15" customHeight="1" x14ac:dyDescent="0.25">
      <c r="A75" s="304" t="s">
        <v>401</v>
      </c>
      <c r="B75" s="269" t="s">
        <v>402</v>
      </c>
      <c r="C75" s="399">
        <v>6642768</v>
      </c>
      <c r="D75" s="247" t="s">
        <v>154</v>
      </c>
      <c r="E75" s="247" t="s">
        <v>403</v>
      </c>
      <c r="G75" s="254">
        <v>21.58</v>
      </c>
      <c r="H75" s="255">
        <f t="shared" si="2"/>
        <v>4863.8599999999997</v>
      </c>
      <c r="I75" s="255">
        <v>3.6</v>
      </c>
      <c r="J75" s="248">
        <f t="shared" si="0"/>
        <v>17.979999999999997</v>
      </c>
    </row>
    <row r="76" spans="1:10" ht="15" customHeight="1" x14ac:dyDescent="0.25">
      <c r="A76" s="304" t="s">
        <v>404</v>
      </c>
      <c r="B76" s="269" t="s">
        <v>405</v>
      </c>
      <c r="C76" s="401"/>
      <c r="D76" s="247" t="s">
        <v>456</v>
      </c>
      <c r="E76" s="247" t="s">
        <v>406</v>
      </c>
      <c r="G76" s="254">
        <v>95.81</v>
      </c>
      <c r="H76" s="255">
        <f t="shared" si="2"/>
        <v>4768.0499999999993</v>
      </c>
      <c r="I76" s="255"/>
      <c r="J76" s="248">
        <f t="shared" si="0"/>
        <v>95.81</v>
      </c>
    </row>
    <row r="77" spans="1:10" ht="15" customHeight="1" x14ac:dyDescent="0.25">
      <c r="A77" s="304" t="s">
        <v>407</v>
      </c>
      <c r="B77" s="269" t="s">
        <v>405</v>
      </c>
      <c r="C77" s="401"/>
      <c r="D77" s="247" t="s">
        <v>456</v>
      </c>
      <c r="E77" s="247" t="s">
        <v>408</v>
      </c>
      <c r="G77" s="254">
        <v>265.67</v>
      </c>
      <c r="H77" s="255">
        <f t="shared" si="2"/>
        <v>4502.3799999999992</v>
      </c>
      <c r="I77" s="255"/>
      <c r="J77" s="248">
        <f t="shared" si="0"/>
        <v>265.67</v>
      </c>
    </row>
    <row r="78" spans="1:10" ht="15" customHeight="1" x14ac:dyDescent="0.25">
      <c r="A78" s="304" t="s">
        <v>409</v>
      </c>
      <c r="B78" s="269" t="s">
        <v>410</v>
      </c>
      <c r="C78" s="401"/>
      <c r="D78" s="247" t="s">
        <v>456</v>
      </c>
      <c r="E78" s="247" t="s">
        <v>411</v>
      </c>
      <c r="G78" s="254">
        <v>58.12</v>
      </c>
      <c r="H78" s="255">
        <f t="shared" si="2"/>
        <v>4444.2599999999993</v>
      </c>
      <c r="I78" s="255"/>
      <c r="J78" s="248">
        <f t="shared" si="0"/>
        <v>58.12</v>
      </c>
    </row>
    <row r="79" spans="1:10" ht="15" customHeight="1" x14ac:dyDescent="0.25">
      <c r="A79" s="304" t="s">
        <v>412</v>
      </c>
      <c r="B79" s="269" t="s">
        <v>410</v>
      </c>
      <c r="C79" s="401"/>
      <c r="D79" s="247" t="s">
        <v>76</v>
      </c>
      <c r="E79" s="247" t="s">
        <v>413</v>
      </c>
      <c r="G79" s="254">
        <v>105.2</v>
      </c>
      <c r="H79" s="255">
        <f t="shared" si="2"/>
        <v>4339.0599999999995</v>
      </c>
      <c r="I79" s="255"/>
      <c r="J79" s="248">
        <f t="shared" si="0"/>
        <v>105.2</v>
      </c>
    </row>
    <row r="80" spans="1:10" ht="15" customHeight="1" x14ac:dyDescent="0.25">
      <c r="A80" s="304" t="s">
        <v>414</v>
      </c>
      <c r="B80" s="269" t="s">
        <v>419</v>
      </c>
      <c r="C80" s="401"/>
      <c r="D80" s="247" t="s">
        <v>456</v>
      </c>
      <c r="E80" s="247" t="s">
        <v>415</v>
      </c>
      <c r="G80" s="254">
        <v>76.650000000000006</v>
      </c>
      <c r="H80" s="255">
        <f t="shared" si="2"/>
        <v>4262.41</v>
      </c>
      <c r="I80" s="255"/>
      <c r="J80" s="248">
        <f t="shared" si="0"/>
        <v>76.650000000000006</v>
      </c>
    </row>
    <row r="81" spans="1:10 16340:16340" ht="15" customHeight="1" x14ac:dyDescent="0.25">
      <c r="A81" s="304" t="s">
        <v>416</v>
      </c>
      <c r="B81" s="269" t="s">
        <v>419</v>
      </c>
      <c r="C81" s="401"/>
      <c r="D81" s="247" t="s">
        <v>456</v>
      </c>
      <c r="E81" s="247" t="s">
        <v>417</v>
      </c>
      <c r="G81" s="254">
        <v>265.67</v>
      </c>
      <c r="H81" s="255">
        <f t="shared" si="2"/>
        <v>3996.74</v>
      </c>
      <c r="I81" s="255"/>
      <c r="J81" s="248">
        <f t="shared" si="0"/>
        <v>265.67</v>
      </c>
    </row>
    <row r="82" spans="1:10 16340:16340" ht="15" customHeight="1" x14ac:dyDescent="0.25">
      <c r="A82" s="304" t="s">
        <v>418</v>
      </c>
      <c r="B82" s="269" t="s">
        <v>419</v>
      </c>
      <c r="C82" s="401"/>
      <c r="D82" s="247" t="s">
        <v>456</v>
      </c>
      <c r="E82" s="247" t="s">
        <v>413</v>
      </c>
      <c r="F82" s="248">
        <v>105.2</v>
      </c>
      <c r="G82" s="254"/>
      <c r="H82" s="255">
        <f t="shared" si="2"/>
        <v>4101.9399999999996</v>
      </c>
      <c r="I82" s="255"/>
      <c r="J82" s="248">
        <f t="shared" si="0"/>
        <v>0</v>
      </c>
    </row>
    <row r="83" spans="1:10 16340:16340" ht="15" customHeight="1" x14ac:dyDescent="0.25">
      <c r="A83" s="304" t="s">
        <v>420</v>
      </c>
      <c r="B83" s="269" t="s">
        <v>421</v>
      </c>
      <c r="C83" s="401"/>
      <c r="D83" s="247" t="s">
        <v>255</v>
      </c>
      <c r="E83" s="247" t="s">
        <v>422</v>
      </c>
      <c r="G83" s="254">
        <v>1.55</v>
      </c>
      <c r="H83" s="255">
        <f t="shared" si="2"/>
        <v>4100.3899999999994</v>
      </c>
      <c r="I83" s="255"/>
      <c r="J83" s="248">
        <f t="shared" si="0"/>
        <v>1.55</v>
      </c>
    </row>
    <row r="84" spans="1:10 16340:16340" ht="15" customHeight="1" x14ac:dyDescent="0.25">
      <c r="A84" s="304" t="s">
        <v>423</v>
      </c>
      <c r="B84" s="269" t="s">
        <v>424</v>
      </c>
      <c r="C84" s="401"/>
      <c r="D84" s="247" t="s">
        <v>456</v>
      </c>
      <c r="E84" s="247" t="s">
        <v>425</v>
      </c>
      <c r="G84" s="254">
        <v>76.650000000000006</v>
      </c>
      <c r="H84" s="255">
        <f t="shared" si="2"/>
        <v>4023.7399999999993</v>
      </c>
      <c r="I84" s="255"/>
      <c r="J84" s="248">
        <f t="shared" si="0"/>
        <v>76.650000000000006</v>
      </c>
    </row>
    <row r="85" spans="1:10 16340:16340" ht="15" customHeight="1" x14ac:dyDescent="0.25">
      <c r="A85" s="304" t="s">
        <v>426</v>
      </c>
      <c r="B85" s="269" t="s">
        <v>424</v>
      </c>
      <c r="C85" s="401"/>
      <c r="D85" s="247" t="s">
        <v>456</v>
      </c>
      <c r="E85" s="247" t="s">
        <v>427</v>
      </c>
      <c r="G85" s="254">
        <v>265.67</v>
      </c>
      <c r="H85" s="255">
        <f t="shared" si="2"/>
        <v>3758.0699999999993</v>
      </c>
      <c r="I85" s="255"/>
      <c r="J85" s="248">
        <f t="shared" si="0"/>
        <v>265.67</v>
      </c>
    </row>
    <row r="86" spans="1:10 16340:16340" ht="15" customHeight="1" x14ac:dyDescent="0.25">
      <c r="A86" s="304" t="s">
        <v>429</v>
      </c>
      <c r="B86" s="269" t="s">
        <v>424</v>
      </c>
      <c r="C86" s="401"/>
      <c r="D86" s="247" t="s">
        <v>456</v>
      </c>
      <c r="E86" s="247" t="s">
        <v>428</v>
      </c>
      <c r="F86" s="248">
        <v>42.2</v>
      </c>
      <c r="G86" s="254"/>
      <c r="H86" s="255">
        <f t="shared" si="2"/>
        <v>3800.2699999999991</v>
      </c>
      <c r="I86" s="255"/>
      <c r="J86" s="248">
        <f t="shared" si="0"/>
        <v>0</v>
      </c>
    </row>
    <row r="87" spans="1:10 16340:16340" ht="15" customHeight="1" x14ac:dyDescent="0.25">
      <c r="A87" s="304" t="s">
        <v>433</v>
      </c>
      <c r="B87" s="269" t="s">
        <v>434</v>
      </c>
      <c r="C87" s="401"/>
      <c r="D87" s="247" t="s">
        <v>458</v>
      </c>
      <c r="E87" s="247" t="s">
        <v>435</v>
      </c>
      <c r="F87" s="248">
        <v>300</v>
      </c>
      <c r="G87" s="254"/>
      <c r="H87" s="255">
        <f t="shared" si="2"/>
        <v>4100.2699999999986</v>
      </c>
      <c r="I87" s="255"/>
      <c r="J87" s="248">
        <f t="shared" si="0"/>
        <v>0</v>
      </c>
    </row>
    <row r="88" spans="1:10 16340:16340" ht="15" customHeight="1" x14ac:dyDescent="0.25">
      <c r="A88" s="304" t="s">
        <v>438</v>
      </c>
      <c r="B88" s="269" t="s">
        <v>439</v>
      </c>
      <c r="C88" s="401"/>
      <c r="D88" s="247" t="s">
        <v>440</v>
      </c>
      <c r="E88" s="247" t="s">
        <v>441</v>
      </c>
      <c r="G88" s="254">
        <v>300</v>
      </c>
      <c r="H88" s="255">
        <f t="shared" si="2"/>
        <v>3800.2699999999986</v>
      </c>
      <c r="I88" s="255"/>
      <c r="J88" s="248">
        <f t="shared" ref="J88:J94" si="3">G88-I88</f>
        <v>300</v>
      </c>
    </row>
    <row r="89" spans="1:10 16340:16340" ht="15" customHeight="1" x14ac:dyDescent="0.25">
      <c r="A89" s="304" t="s">
        <v>442</v>
      </c>
      <c r="B89" s="269" t="s">
        <v>439</v>
      </c>
      <c r="C89" s="401"/>
      <c r="D89" s="247" t="s">
        <v>456</v>
      </c>
      <c r="E89" s="247" t="s">
        <v>443</v>
      </c>
      <c r="G89" s="254">
        <v>32.119999999999997</v>
      </c>
      <c r="H89" s="255">
        <f t="shared" si="2"/>
        <v>3768.1499999999987</v>
      </c>
      <c r="I89" s="255"/>
      <c r="J89" s="248">
        <f t="shared" si="3"/>
        <v>32.119999999999997</v>
      </c>
    </row>
    <row r="90" spans="1:10 16340:16340" ht="15" customHeight="1" x14ac:dyDescent="0.25">
      <c r="A90" s="304" t="s">
        <v>444</v>
      </c>
      <c r="B90" s="269" t="s">
        <v>439</v>
      </c>
      <c r="C90" s="401"/>
      <c r="D90" s="247" t="s">
        <v>76</v>
      </c>
      <c r="E90" s="247" t="s">
        <v>445</v>
      </c>
      <c r="G90" s="254">
        <v>84.6</v>
      </c>
      <c r="H90" s="255">
        <f t="shared" si="2"/>
        <v>3683.5499999999988</v>
      </c>
      <c r="I90" s="255"/>
      <c r="J90" s="248">
        <f t="shared" si="3"/>
        <v>84.6</v>
      </c>
    </row>
    <row r="91" spans="1:10 16340:16340" ht="15" customHeight="1" x14ac:dyDescent="0.25">
      <c r="A91" s="304" t="s">
        <v>446</v>
      </c>
      <c r="B91" s="269" t="s">
        <v>447</v>
      </c>
      <c r="C91" s="401"/>
      <c r="D91" s="247" t="s">
        <v>456</v>
      </c>
      <c r="E91" s="247" t="s">
        <v>448</v>
      </c>
      <c r="G91" s="254">
        <v>76.650000000000006</v>
      </c>
      <c r="H91" s="255">
        <f t="shared" si="2"/>
        <v>3606.8999999999987</v>
      </c>
      <c r="I91" s="255"/>
      <c r="J91" s="248">
        <f t="shared" si="3"/>
        <v>76.650000000000006</v>
      </c>
    </row>
    <row r="92" spans="1:10 16340:16340" ht="15" customHeight="1" x14ac:dyDescent="0.25">
      <c r="A92" s="304" t="s">
        <v>449</v>
      </c>
      <c r="B92" s="269" t="s">
        <v>447</v>
      </c>
      <c r="C92" s="401"/>
      <c r="D92" s="247" t="s">
        <v>456</v>
      </c>
      <c r="E92" s="247" t="s">
        <v>450</v>
      </c>
      <c r="G92" s="254">
        <v>265.67</v>
      </c>
      <c r="H92" s="255">
        <f t="shared" si="2"/>
        <v>3341.2299999999987</v>
      </c>
      <c r="I92" s="255"/>
      <c r="J92" s="248">
        <f t="shared" si="3"/>
        <v>265.67</v>
      </c>
    </row>
    <row r="93" spans="1:10 16340:16340" ht="15" customHeight="1" x14ac:dyDescent="0.25">
      <c r="A93" s="304" t="s">
        <v>451</v>
      </c>
      <c r="B93" s="269" t="s">
        <v>447</v>
      </c>
      <c r="C93" s="401"/>
      <c r="D93" s="247" t="s">
        <v>456</v>
      </c>
      <c r="E93" s="247" t="s">
        <v>452</v>
      </c>
      <c r="F93" s="248">
        <v>42.4</v>
      </c>
      <c r="G93" s="254"/>
      <c r="H93" s="255">
        <f t="shared" si="2"/>
        <v>3383.6299999999987</v>
      </c>
      <c r="I93" s="255"/>
    </row>
    <row r="94" spans="1:10 16340:16340" ht="15" customHeight="1" x14ac:dyDescent="0.25">
      <c r="A94" s="305"/>
      <c r="B94" s="258"/>
      <c r="C94" s="398"/>
      <c r="D94" s="271"/>
      <c r="E94" s="271"/>
      <c r="H94" s="255">
        <f t="shared" si="2"/>
        <v>3383.6299999999987</v>
      </c>
      <c r="I94" s="255">
        <v>0</v>
      </c>
      <c r="J94" s="248">
        <f t="shared" si="3"/>
        <v>0</v>
      </c>
    </row>
    <row r="95" spans="1:10 16340:16340" ht="15" customHeight="1" thickBot="1" x14ac:dyDescent="0.3">
      <c r="F95" s="262">
        <f>SUM(F6:F94)</f>
        <v>13311.92</v>
      </c>
      <c r="G95" s="263">
        <f>SUM(G6:G94)</f>
        <v>12073.88</v>
      </c>
      <c r="H95" s="272">
        <f>SUM(H94)</f>
        <v>3383.6299999999987</v>
      </c>
      <c r="I95" s="262">
        <f>SUM(I6:I94)</f>
        <v>231.55</v>
      </c>
      <c r="J95" s="262">
        <f>SUM(J6:J94)</f>
        <v>11842.33</v>
      </c>
      <c r="XDL95" s="251">
        <f>SUM(K95:XDK95)</f>
        <v>0</v>
      </c>
    </row>
    <row r="96" spans="1:10 16340:16340" ht="15" customHeight="1" thickTop="1" x14ac:dyDescent="0.25">
      <c r="G96" s="265"/>
      <c r="H96" s="266"/>
      <c r="I96" s="266"/>
      <c r="J96" s="266"/>
    </row>
    <row r="97" spans="1:10" s="246" customFormat="1" ht="15" customHeight="1" x14ac:dyDescent="0.25">
      <c r="A97" s="306"/>
      <c r="C97" s="400"/>
      <c r="F97" s="266"/>
      <c r="G97" s="249"/>
      <c r="H97" s="266"/>
      <c r="I97" s="266"/>
      <c r="J97" s="266"/>
    </row>
    <row r="99" spans="1:10" s="246" customFormat="1" ht="15" customHeight="1" x14ac:dyDescent="0.25">
      <c r="A99" s="306"/>
      <c r="C99" s="400"/>
      <c r="E99" s="266"/>
      <c r="F99" s="266"/>
      <c r="G99" s="265"/>
      <c r="H99" s="266"/>
      <c r="I99" s="266"/>
      <c r="J99" s="266"/>
    </row>
    <row r="101" spans="1:10" ht="30.75" customHeight="1" x14ac:dyDescent="0.25"/>
  </sheetData>
  <autoFilter ref="A5:J95" xr:uid="{00000000-0001-0000-0100-000000000000}"/>
  <phoneticPr fontId="5" type="noConversion"/>
  <conditionalFormatting sqref="F6:F94 H6:H95 I8:J10 I22:J24 I27:J27 I32:J32 I37:J37 A39:E41 G39:G94 I39:J94 A42:C42 E42 A43:E94">
    <cfRule type="expression" dxfId="13" priority="3">
      <formula>LEFT($A6,1)="R"</formula>
    </cfRule>
  </conditionalFormatting>
  <conditionalFormatting sqref="J6">
    <cfRule type="cellIs" dxfId="12" priority="38" operator="notEqual">
      <formula>#REF!</formula>
    </cfRule>
  </conditionalFormatting>
  <conditionalFormatting sqref="J6:J7 G8:G10 J11:J21 A22:E24 G22:G24 J25:J26 A27:E27 G27 J28:J31 A32:E32 G32 J33:J36 A37:E37 G37 J38 A8:E10">
    <cfRule type="expression" dxfId="11" priority="8">
      <formula>LEFT($A6,1)="R"</formula>
    </cfRule>
  </conditionalFormatting>
  <conditionalFormatting sqref="F6:F94">
    <cfRule type="cellIs" dxfId="10" priority="48" operator="notEqual">
      <formula>#REF!</formula>
    </cfRule>
    <cfRule type="expression" dxfId="9" priority="49">
      <formula>AND(#REF!&lt;&gt;$F6,#REF!&lt;&gt;$F6)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zoomScale="90" zoomScaleNormal="90" workbookViewId="0">
      <pane ySplit="3" topLeftCell="A4" activePane="bottomLeft" state="frozen"/>
      <selection activeCell="E1" sqref="E1"/>
      <selection pane="bottomLeft" activeCell="M19" sqref="M19"/>
    </sheetView>
  </sheetViews>
  <sheetFormatPr defaultColWidth="9.140625" defaultRowHeight="15" x14ac:dyDescent="0.25"/>
  <cols>
    <col min="1" max="1" width="4.85546875" style="245" customWidth="1"/>
    <col min="2" max="3" width="12.7109375" style="247" customWidth="1"/>
    <col min="4" max="4" width="18.85546875" style="247" customWidth="1"/>
    <col min="5" max="5" width="27.42578125" style="247" customWidth="1"/>
    <col min="6" max="6" width="11.42578125" style="248" customWidth="1"/>
    <col min="7" max="7" width="11.42578125" style="249" customWidth="1"/>
    <col min="8" max="10" width="11.42578125" style="248" customWidth="1"/>
    <col min="11" max="16384" width="9.140625" style="247"/>
  </cols>
  <sheetData>
    <row r="1" spans="1:10" ht="15" customHeight="1" x14ac:dyDescent="0.25">
      <c r="B1" s="246" t="s">
        <v>184</v>
      </c>
      <c r="C1" s="246"/>
    </row>
    <row r="2" spans="1:10" ht="15.75" customHeight="1" x14ac:dyDescent="0.25">
      <c r="B2" s="246"/>
      <c r="C2" s="246"/>
    </row>
    <row r="3" spans="1:10" ht="75" customHeight="1" x14ac:dyDescent="0.25">
      <c r="B3" s="253" t="s">
        <v>0</v>
      </c>
      <c r="C3" s="253" t="s">
        <v>1</v>
      </c>
      <c r="D3" s="247" t="s">
        <v>9</v>
      </c>
      <c r="E3" s="247" t="s">
        <v>10</v>
      </c>
      <c r="F3" s="248" t="s">
        <v>183</v>
      </c>
      <c r="G3" s="254" t="s">
        <v>16</v>
      </c>
      <c r="H3" s="255" t="s">
        <v>67</v>
      </c>
      <c r="I3" s="255" t="s">
        <v>3</v>
      </c>
      <c r="J3" s="256" t="s">
        <v>4</v>
      </c>
    </row>
    <row r="4" spans="1:10" ht="15" customHeight="1" x14ac:dyDescent="0.25">
      <c r="G4" s="254"/>
      <c r="H4" s="255">
        <f>SUM('Bank Recon'!D24)</f>
        <v>3038.37</v>
      </c>
      <c r="I4" s="255"/>
      <c r="J4" s="255"/>
    </row>
    <row r="5" spans="1:10" ht="15" customHeight="1" x14ac:dyDescent="0.25">
      <c r="B5" s="247" t="s">
        <v>0</v>
      </c>
      <c r="D5" s="247" t="s">
        <v>7</v>
      </c>
      <c r="E5" s="247" t="s">
        <v>10</v>
      </c>
      <c r="G5" s="254" t="s">
        <v>2</v>
      </c>
      <c r="H5" s="255"/>
      <c r="I5" s="255"/>
      <c r="J5" s="255" t="s">
        <v>4</v>
      </c>
    </row>
    <row r="6" spans="1:10" ht="15" customHeight="1" x14ac:dyDescent="0.25">
      <c r="A6" s="257" t="s">
        <v>77</v>
      </c>
      <c r="B6" s="258" t="s">
        <v>222</v>
      </c>
      <c r="C6" s="259"/>
      <c r="D6" s="260" t="s">
        <v>196</v>
      </c>
      <c r="E6" s="260" t="s">
        <v>270</v>
      </c>
      <c r="F6" s="261">
        <v>500</v>
      </c>
      <c r="G6" s="254">
        <v>0</v>
      </c>
      <c r="H6" s="255">
        <f>IF($F6&gt;0,$H$4+$F6,IF($G6&gt;0,$H$4-$G6,$H$4))</f>
        <v>3538.37</v>
      </c>
      <c r="I6" s="255">
        <v>0</v>
      </c>
      <c r="J6" s="248">
        <f>F6-I6</f>
        <v>500</v>
      </c>
    </row>
    <row r="7" spans="1:10" ht="15" customHeight="1" x14ac:dyDescent="0.25">
      <c r="A7" s="257" t="s">
        <v>81</v>
      </c>
      <c r="B7" s="258" t="s">
        <v>276</v>
      </c>
      <c r="C7" s="259"/>
      <c r="D7" s="260" t="s">
        <v>115</v>
      </c>
      <c r="E7" s="260" t="s">
        <v>6</v>
      </c>
      <c r="F7" s="261">
        <v>12.46</v>
      </c>
      <c r="G7" s="254">
        <v>0</v>
      </c>
      <c r="H7" s="255">
        <f>IF($F7&gt;0,$H6+$F7,IF($G7&gt;0,$H6-$G7,$H6))</f>
        <v>3550.83</v>
      </c>
      <c r="I7" s="255"/>
    </row>
    <row r="8" spans="1:10" ht="15" customHeight="1" x14ac:dyDescent="0.25">
      <c r="A8" s="257" t="s">
        <v>93</v>
      </c>
      <c r="B8" s="258" t="s">
        <v>248</v>
      </c>
      <c r="C8" s="259"/>
      <c r="D8" s="260" t="s">
        <v>282</v>
      </c>
      <c r="E8" s="260" t="s">
        <v>186</v>
      </c>
      <c r="F8" s="261">
        <v>281</v>
      </c>
      <c r="G8" s="254">
        <v>0</v>
      </c>
      <c r="H8" s="255">
        <f t="shared" ref="H8:H13" si="0">IF($F8&gt;0,$H7+$F8,IF($G8&gt;0,$H7-$G8,$H7))</f>
        <v>3831.83</v>
      </c>
      <c r="I8" s="255"/>
    </row>
    <row r="9" spans="1:10" ht="15" customHeight="1" x14ac:dyDescent="0.25">
      <c r="A9" s="257" t="s">
        <v>114</v>
      </c>
      <c r="B9" s="258" t="s">
        <v>290</v>
      </c>
      <c r="C9" s="259"/>
      <c r="D9" s="260" t="s">
        <v>115</v>
      </c>
      <c r="E9" s="260" t="s">
        <v>6</v>
      </c>
      <c r="F9" s="261">
        <v>14</v>
      </c>
      <c r="G9" s="254">
        <v>0</v>
      </c>
      <c r="H9" s="255">
        <f t="shared" si="0"/>
        <v>3845.83</v>
      </c>
      <c r="I9" s="255"/>
    </row>
    <row r="10" spans="1:10" ht="15" customHeight="1" x14ac:dyDescent="0.25">
      <c r="A10" s="257" t="s">
        <v>340</v>
      </c>
      <c r="B10" s="258" t="s">
        <v>338</v>
      </c>
      <c r="C10" s="259"/>
      <c r="D10" s="260" t="s">
        <v>186</v>
      </c>
      <c r="E10" s="260" t="s">
        <v>339</v>
      </c>
      <c r="F10" s="261">
        <v>3000</v>
      </c>
      <c r="G10" s="254"/>
      <c r="H10" s="255">
        <f t="shared" si="0"/>
        <v>6845.83</v>
      </c>
      <c r="I10" s="255"/>
    </row>
    <row r="11" spans="1:10" ht="15" customHeight="1" x14ac:dyDescent="0.25">
      <c r="A11" s="257" t="s">
        <v>386</v>
      </c>
      <c r="B11" s="258" t="s">
        <v>387</v>
      </c>
      <c r="C11" s="259"/>
      <c r="D11" s="260" t="s">
        <v>115</v>
      </c>
      <c r="E11" s="260" t="s">
        <v>6</v>
      </c>
      <c r="F11" s="261">
        <v>19.190000000000001</v>
      </c>
      <c r="G11" s="254"/>
      <c r="H11" s="255">
        <f t="shared" si="0"/>
        <v>6865.0199999999995</v>
      </c>
      <c r="I11" s="255"/>
    </row>
    <row r="12" spans="1:10" ht="15" customHeight="1" x14ac:dyDescent="0.25">
      <c r="A12" s="257" t="s">
        <v>400</v>
      </c>
      <c r="B12" s="258" t="s">
        <v>398</v>
      </c>
      <c r="C12" s="259"/>
      <c r="D12" s="260" t="s">
        <v>196</v>
      </c>
      <c r="E12" s="260" t="s">
        <v>186</v>
      </c>
      <c r="F12" s="261">
        <v>30</v>
      </c>
      <c r="G12" s="254"/>
      <c r="H12" s="255">
        <f t="shared" si="0"/>
        <v>6895.0199999999995</v>
      </c>
      <c r="I12" s="255"/>
    </row>
    <row r="13" spans="1:10" ht="15" customHeight="1" x14ac:dyDescent="0.25">
      <c r="A13" s="257" t="s">
        <v>430</v>
      </c>
      <c r="B13" s="258" t="s">
        <v>431</v>
      </c>
      <c r="C13" s="259"/>
      <c r="D13" s="260" t="s">
        <v>115</v>
      </c>
      <c r="E13" s="260" t="s">
        <v>6</v>
      </c>
      <c r="F13" s="261">
        <v>24.37</v>
      </c>
      <c r="G13" s="254">
        <v>0</v>
      </c>
      <c r="H13" s="255">
        <f t="shared" si="0"/>
        <v>6919.3899999999994</v>
      </c>
      <c r="I13" s="255"/>
    </row>
    <row r="14" spans="1:10" ht="15" customHeight="1" thickBot="1" x14ac:dyDescent="0.3">
      <c r="F14" s="262">
        <f>SUM(F6:F13)</f>
        <v>3881.02</v>
      </c>
      <c r="G14" s="263">
        <f>SUM(G6:G13)</f>
        <v>0</v>
      </c>
      <c r="H14" s="264">
        <f>SUM(H13)</f>
        <v>6919.3899999999994</v>
      </c>
      <c r="I14" s="264"/>
      <c r="J14" s="262">
        <f>SUM(J6:J13)</f>
        <v>500</v>
      </c>
    </row>
    <row r="15" spans="1:10" ht="15" customHeight="1" thickTop="1" x14ac:dyDescent="0.25">
      <c r="G15" s="265"/>
      <c r="H15" s="266"/>
      <c r="I15" s="266"/>
      <c r="J15" s="266"/>
    </row>
    <row r="16" spans="1:10" s="246" customFormat="1" ht="15" customHeight="1" x14ac:dyDescent="0.25">
      <c r="A16" s="267"/>
      <c r="F16" s="249"/>
      <c r="G16" s="249"/>
      <c r="H16" s="249"/>
      <c r="I16" s="266"/>
      <c r="J16" s="266"/>
    </row>
    <row r="17" spans="1:10" ht="15" customHeight="1" x14ac:dyDescent="0.25">
      <c r="E17" s="266"/>
    </row>
    <row r="18" spans="1:10" s="246" customFormat="1" ht="15" customHeight="1" x14ac:dyDescent="0.25">
      <c r="A18" s="267"/>
      <c r="F18" s="248"/>
      <c r="G18" s="265"/>
      <c r="H18" s="266"/>
      <c r="I18" s="266"/>
      <c r="J18" s="266"/>
    </row>
    <row r="19" spans="1:10" ht="15" customHeight="1" x14ac:dyDescent="0.25"/>
    <row r="20" spans="1:10" ht="15" customHeight="1" x14ac:dyDescent="0.25"/>
  </sheetData>
  <phoneticPr fontId="5" type="noConversion"/>
  <conditionalFormatting sqref="A6:J13">
    <cfRule type="expression" dxfId="8" priority="2">
      <formula>LEFT($A6,1)="R"</formula>
    </cfRule>
  </conditionalFormatting>
  <conditionalFormatting sqref="F6:F13">
    <cfRule type="expression" dxfId="0" priority="50">
      <formula>AND(#REF!&lt;&gt;$F6,#REF!&lt;&gt;$F6)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zoomScale="82" zoomScaleNormal="82" workbookViewId="0">
      <selection activeCell="C23" sqref="C23"/>
    </sheetView>
  </sheetViews>
  <sheetFormatPr defaultColWidth="8.7109375" defaultRowHeight="15.75" x14ac:dyDescent="0.25"/>
  <cols>
    <col min="1" max="1" width="52.140625" style="31" customWidth="1"/>
    <col min="2" max="2" width="13.42578125" style="31" customWidth="1"/>
    <col min="3" max="3" width="19.140625" style="42" bestFit="1" customWidth="1"/>
    <col min="4" max="4" width="19" style="33" customWidth="1"/>
    <col min="5" max="5" width="17.28515625" style="31" customWidth="1"/>
    <col min="6" max="6" width="20.140625" style="31" customWidth="1"/>
    <col min="7" max="8" width="8.7109375" style="31"/>
    <col min="9" max="9" width="13" style="31" customWidth="1"/>
    <col min="10" max="16384" width="8.7109375" style="31"/>
  </cols>
  <sheetData>
    <row r="1" spans="1:4" x14ac:dyDescent="0.25">
      <c r="A1" s="379" t="s">
        <v>215</v>
      </c>
      <c r="B1" s="379"/>
      <c r="C1" s="379"/>
      <c r="D1" s="379"/>
    </row>
    <row r="2" spans="1:4" x14ac:dyDescent="0.25">
      <c r="A2" s="379" t="s">
        <v>14</v>
      </c>
      <c r="B2" s="379"/>
      <c r="C2" s="379"/>
      <c r="D2" s="379"/>
    </row>
    <row r="4" spans="1:4" x14ac:dyDescent="0.25">
      <c r="A4" s="32" t="s">
        <v>219</v>
      </c>
      <c r="B4" s="32"/>
      <c r="C4" s="33"/>
    </row>
    <row r="5" spans="1:4" x14ac:dyDescent="0.25">
      <c r="A5" s="34"/>
      <c r="B5" s="34"/>
      <c r="C5" s="33"/>
    </row>
    <row r="6" spans="1:4" x14ac:dyDescent="0.25">
      <c r="A6" s="34" t="s">
        <v>42</v>
      </c>
      <c r="B6" s="34"/>
      <c r="C6" s="35">
        <v>45747</v>
      </c>
    </row>
    <row r="7" spans="1:4" x14ac:dyDescent="0.25">
      <c r="A7" s="34"/>
      <c r="B7" s="34"/>
      <c r="C7" s="33"/>
    </row>
    <row r="8" spans="1:4" x14ac:dyDescent="0.25">
      <c r="A8" s="115" t="s">
        <v>151</v>
      </c>
      <c r="B8" s="217">
        <v>45747</v>
      </c>
      <c r="C8" s="33"/>
    </row>
    <row r="9" spans="1:4" x14ac:dyDescent="0.25">
      <c r="A9" s="36"/>
      <c r="B9" s="32"/>
      <c r="C9" s="33"/>
    </row>
    <row r="10" spans="1:4" x14ac:dyDescent="0.25">
      <c r="A10" s="34" t="s">
        <v>41</v>
      </c>
      <c r="B10" s="32"/>
      <c r="C10" s="37">
        <v>3383.63</v>
      </c>
    </row>
    <row r="11" spans="1:4" x14ac:dyDescent="0.25">
      <c r="A11" s="34" t="s">
        <v>196</v>
      </c>
      <c r="B11" s="32"/>
      <c r="C11" s="37">
        <v>6919.39</v>
      </c>
    </row>
    <row r="12" spans="1:4" x14ac:dyDescent="0.25">
      <c r="A12" s="34"/>
      <c r="B12" s="32"/>
      <c r="C12" s="38"/>
      <c r="D12" s="33">
        <f>SUM(C10:C11)</f>
        <v>10303.02</v>
      </c>
    </row>
    <row r="13" spans="1:4" x14ac:dyDescent="0.25">
      <c r="A13" s="34"/>
      <c r="B13" s="32"/>
      <c r="C13" s="33"/>
    </row>
    <row r="14" spans="1:4" x14ac:dyDescent="0.25">
      <c r="A14" s="34" t="s">
        <v>15</v>
      </c>
      <c r="B14" s="32"/>
      <c r="C14" s="33"/>
    </row>
    <row r="15" spans="1:4" x14ac:dyDescent="0.25">
      <c r="A15" s="34" t="s">
        <v>16</v>
      </c>
      <c r="B15" s="216"/>
      <c r="C15" s="39">
        <v>0</v>
      </c>
    </row>
    <row r="16" spans="1:4" x14ac:dyDescent="0.25">
      <c r="A16" s="34"/>
      <c r="B16" s="32"/>
      <c r="C16" s="38"/>
      <c r="D16" s="33">
        <f>SUM(C14:C15)</f>
        <v>0</v>
      </c>
    </row>
    <row r="17" spans="1:7" x14ac:dyDescent="0.25">
      <c r="A17" s="34"/>
      <c r="B17" s="32"/>
      <c r="C17" s="33"/>
    </row>
    <row r="18" spans="1:7" ht="16.5" thickBot="1" x14ac:dyDescent="0.3">
      <c r="A18" s="116" t="s">
        <v>152</v>
      </c>
      <c r="B18" s="217">
        <f>SUM(B8)</f>
        <v>45747</v>
      </c>
      <c r="C18" s="33"/>
      <c r="D18" s="40">
        <f>+D12-D16</f>
        <v>10303.02</v>
      </c>
    </row>
    <row r="19" spans="1:7" ht="16.5" thickTop="1" x14ac:dyDescent="0.25">
      <c r="A19" s="34"/>
      <c r="B19" s="32"/>
      <c r="C19" s="33"/>
    </row>
    <row r="20" spans="1:7" x14ac:dyDescent="0.25">
      <c r="A20" s="34"/>
      <c r="B20" s="32"/>
      <c r="C20" s="33"/>
      <c r="D20" s="41"/>
    </row>
    <row r="21" spans="1:7" x14ac:dyDescent="0.25">
      <c r="A21" s="32" t="s">
        <v>17</v>
      </c>
      <c r="B21" s="32"/>
      <c r="C21" s="33"/>
      <c r="D21" s="41"/>
    </row>
    <row r="22" spans="1:7" x14ac:dyDescent="0.25">
      <c r="A22" s="34"/>
      <c r="B22" s="32"/>
      <c r="C22" s="33"/>
      <c r="D22" s="41"/>
    </row>
    <row r="23" spans="1:7" x14ac:dyDescent="0.25">
      <c r="A23" s="34" t="s">
        <v>218</v>
      </c>
      <c r="B23" s="32"/>
      <c r="C23" s="33"/>
      <c r="D23" s="243">
        <v>2145.59</v>
      </c>
    </row>
    <row r="24" spans="1:7" x14ac:dyDescent="0.25">
      <c r="A24" s="34" t="s">
        <v>432</v>
      </c>
      <c r="B24" s="32"/>
      <c r="C24" s="33"/>
      <c r="D24" s="243">
        <v>3038.37</v>
      </c>
      <c r="G24" s="268"/>
    </row>
    <row r="25" spans="1:7" x14ac:dyDescent="0.25">
      <c r="A25" s="32" t="s">
        <v>185</v>
      </c>
      <c r="B25" s="32"/>
      <c r="C25" s="41"/>
      <c r="D25" s="244">
        <f>SUM(D23:D24)</f>
        <v>5183.96</v>
      </c>
    </row>
    <row r="26" spans="1:7" x14ac:dyDescent="0.25">
      <c r="A26" s="34" t="s">
        <v>187</v>
      </c>
      <c r="B26" s="32"/>
      <c r="C26" s="33"/>
      <c r="D26" s="37">
        <f>SUM('Bank Account'!F97)</f>
        <v>0</v>
      </c>
    </row>
    <row r="27" spans="1:7" x14ac:dyDescent="0.25">
      <c r="A27" s="34" t="s">
        <v>220</v>
      </c>
      <c r="B27" s="32"/>
      <c r="C27" s="33"/>
      <c r="D27" s="37">
        <f>SUM(Reserves!F14)</f>
        <v>3881.02</v>
      </c>
    </row>
    <row r="28" spans="1:7" x14ac:dyDescent="0.25">
      <c r="A28" s="34" t="s">
        <v>188</v>
      </c>
      <c r="B28" s="32"/>
      <c r="C28" s="33"/>
      <c r="D28" s="37">
        <f>SUM('Bank Account'!G95)</f>
        <v>12073.88</v>
      </c>
    </row>
    <row r="29" spans="1:7" x14ac:dyDescent="0.25">
      <c r="A29" s="34" t="s">
        <v>221</v>
      </c>
      <c r="B29" s="32"/>
      <c r="C29" s="33"/>
      <c r="D29" s="37">
        <f>SUM(Reserves!G14)</f>
        <v>0</v>
      </c>
    </row>
    <row r="30" spans="1:7" x14ac:dyDescent="0.25">
      <c r="A30" s="34"/>
      <c r="B30" s="32"/>
      <c r="C30" s="33"/>
      <c r="D30" s="41"/>
    </row>
    <row r="31" spans="1:7" s="34" customFormat="1" ht="16.5" thickBot="1" x14ac:dyDescent="0.3">
      <c r="A31" s="116" t="s">
        <v>153</v>
      </c>
      <c r="B31" s="217">
        <f>SUM(B8)</f>
        <v>45747</v>
      </c>
      <c r="C31" s="33"/>
      <c r="D31" s="40">
        <f>SUM(D25+D26+D27-D28-D29)</f>
        <v>-3008.8999999999996</v>
      </c>
    </row>
    <row r="32" spans="1:7" ht="16.5" thickTop="1" x14ac:dyDescent="0.25"/>
    <row r="33" spans="1:4" x14ac:dyDescent="0.25">
      <c r="A33" s="34"/>
      <c r="B33" s="34"/>
    </row>
    <row r="34" spans="1:4" x14ac:dyDescent="0.25">
      <c r="A34" s="34"/>
      <c r="B34" s="34"/>
      <c r="D34" s="33">
        <f>D31-D18</f>
        <v>-13311.92</v>
      </c>
    </row>
    <row r="35" spans="1:4" x14ac:dyDescent="0.25">
      <c r="A35" s="34"/>
      <c r="B35" s="34"/>
    </row>
    <row r="38" spans="1:4" x14ac:dyDescent="0.25">
      <c r="A38" s="32"/>
      <c r="B38" s="32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68"/>
  <sheetViews>
    <sheetView zoomScale="90" zoomScaleNormal="90" workbookViewId="0">
      <selection activeCell="C23" sqref="C23"/>
    </sheetView>
  </sheetViews>
  <sheetFormatPr defaultColWidth="12.5703125" defaultRowHeight="18.75" x14ac:dyDescent="0.3"/>
  <cols>
    <col min="1" max="1" width="43" style="6" customWidth="1"/>
    <col min="2" max="2" width="17.28515625" style="4" customWidth="1"/>
    <col min="3" max="3" width="16.28515625" style="28" bestFit="1" customWidth="1"/>
    <col min="4" max="4" width="16" style="29" bestFit="1" customWidth="1"/>
    <col min="5" max="6" width="12.5703125" style="12"/>
    <col min="7" max="7" width="14.28515625" style="11" bestFit="1" customWidth="1"/>
    <col min="8" max="8" width="14.28515625" style="11" hidden="1" customWidth="1"/>
    <col min="9" max="9" width="14.28515625" style="11" customWidth="1"/>
    <col min="10" max="10" width="12.7109375" style="11" bestFit="1" customWidth="1"/>
    <col min="11" max="11" width="10.5703125" style="11" bestFit="1" customWidth="1"/>
    <col min="12" max="12" width="13.85546875" style="11" customWidth="1"/>
    <col min="13" max="13" width="10.5703125" style="11" bestFit="1" customWidth="1"/>
    <col min="14" max="14" width="13.42578125" style="11" customWidth="1"/>
    <col min="15" max="15" width="12.7109375" style="11" customWidth="1"/>
    <col min="16" max="16" width="10.5703125" style="11" bestFit="1" customWidth="1"/>
    <col min="17" max="17" width="12.7109375" style="11" bestFit="1" customWidth="1"/>
    <col min="18" max="18" width="11.85546875" style="11" bestFit="1" customWidth="1"/>
    <col min="19" max="19" width="11.5703125" style="11" customWidth="1"/>
    <col min="20" max="20" width="15.7109375" style="6" bestFit="1" customWidth="1"/>
    <col min="21" max="21" width="10.5703125" style="6" bestFit="1" customWidth="1"/>
    <col min="22" max="16384" width="12.5703125" style="6"/>
  </cols>
  <sheetData>
    <row r="1" spans="1:19" s="9" customFormat="1" x14ac:dyDescent="0.3">
      <c r="A1" s="380" t="s">
        <v>215</v>
      </c>
      <c r="B1" s="380"/>
      <c r="C1" s="380"/>
      <c r="D1" s="380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9" customFormat="1" x14ac:dyDescent="0.3">
      <c r="A2" s="380" t="s">
        <v>216</v>
      </c>
      <c r="B2" s="380"/>
      <c r="C2" s="380"/>
      <c r="D2" s="380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x14ac:dyDescent="0.3">
      <c r="A3" s="381"/>
      <c r="B3" s="381"/>
      <c r="C3" s="381"/>
      <c r="D3" s="381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9" customFormat="1" x14ac:dyDescent="0.3">
      <c r="A4" s="30"/>
      <c r="B4" s="2" t="s">
        <v>214</v>
      </c>
      <c r="C4" s="28" t="s">
        <v>18</v>
      </c>
      <c r="D4" s="293" t="s">
        <v>73</v>
      </c>
      <c r="E4" s="8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9" customFormat="1" x14ac:dyDescent="0.3">
      <c r="A5" s="10" t="s">
        <v>19</v>
      </c>
      <c r="B5" s="3"/>
      <c r="C5" s="294" t="s">
        <v>214</v>
      </c>
      <c r="D5" s="295"/>
      <c r="E5" s="8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3">
      <c r="A6" s="13" t="s">
        <v>5</v>
      </c>
      <c r="B6" s="4">
        <f>#REF!</f>
        <v>3500</v>
      </c>
      <c r="C6" s="28">
        <f>SUM(#REF!)</f>
        <v>7000</v>
      </c>
      <c r="D6" s="296">
        <f>SUM(#REF!)</f>
        <v>5400</v>
      </c>
    </row>
    <row r="7" spans="1:19" x14ac:dyDescent="0.3">
      <c r="A7" s="13" t="s">
        <v>197</v>
      </c>
      <c r="B7" s="4">
        <f>SUM(#REF!)</f>
        <v>200</v>
      </c>
      <c r="C7" s="28">
        <f>SUM(#REF!)</f>
        <v>100</v>
      </c>
      <c r="D7" s="296">
        <f>SUM(#REF!)</f>
        <v>0</v>
      </c>
    </row>
    <row r="8" spans="1:19" x14ac:dyDescent="0.3">
      <c r="A8" s="13" t="s">
        <v>198</v>
      </c>
      <c r="B8" s="4">
        <f>SUM(#REF!)</f>
        <v>217.93</v>
      </c>
      <c r="C8" s="28">
        <f>SUM(#REF!)</f>
        <v>120</v>
      </c>
      <c r="D8" s="296">
        <f>SUM(#REF!)</f>
        <v>0</v>
      </c>
    </row>
    <row r="9" spans="1:19" x14ac:dyDescent="0.3">
      <c r="A9" s="13" t="s">
        <v>155</v>
      </c>
      <c r="B9" s="4">
        <f>SUM(#REF!)</f>
        <v>0</v>
      </c>
      <c r="C9" s="28">
        <f>SUM(#REF!)</f>
        <v>25</v>
      </c>
      <c r="D9" s="296">
        <f>SUM(#REF!)</f>
        <v>500</v>
      </c>
    </row>
    <row r="10" spans="1:19" x14ac:dyDescent="0.3">
      <c r="A10" s="13" t="s">
        <v>199</v>
      </c>
      <c r="B10" s="4">
        <f>SUM(#REF!)</f>
        <v>0</v>
      </c>
      <c r="C10" s="28">
        <f>SUM(#REF!)</f>
        <v>30</v>
      </c>
      <c r="D10" s="296">
        <f>SUM(#REF!)</f>
        <v>31.6</v>
      </c>
    </row>
    <row r="11" spans="1:19" x14ac:dyDescent="0.3">
      <c r="A11" s="13" t="s">
        <v>76</v>
      </c>
      <c r="B11" s="4">
        <f>SUM(#REF!)</f>
        <v>114.21000000000001</v>
      </c>
      <c r="C11" s="28">
        <f>SUM(#REF!)</f>
        <v>0</v>
      </c>
      <c r="D11" s="296">
        <f>SUM(#REF!)</f>
        <v>48.4</v>
      </c>
    </row>
    <row r="12" spans="1:19" x14ac:dyDescent="0.3">
      <c r="A12" s="13" t="s">
        <v>217</v>
      </c>
      <c r="B12" s="4">
        <f>SUM(#REF!)</f>
        <v>26.46</v>
      </c>
      <c r="C12" s="28">
        <f>SUM(#REF!)</f>
        <v>0</v>
      </c>
      <c r="D12" s="296">
        <f>SUM(#REF!)</f>
        <v>0</v>
      </c>
    </row>
    <row r="13" spans="1:19" x14ac:dyDescent="0.3">
      <c r="A13" s="13" t="s">
        <v>72</v>
      </c>
      <c r="B13" s="4">
        <f>SUM(#REF!)</f>
        <v>1473.76</v>
      </c>
      <c r="C13" s="28">
        <f>SUM(#REF!)</f>
        <v>0</v>
      </c>
      <c r="D13" s="296">
        <f>SUM(#REF!)</f>
        <v>405.16</v>
      </c>
    </row>
    <row r="14" spans="1:19" x14ac:dyDescent="0.3">
      <c r="A14" s="13" t="s">
        <v>196</v>
      </c>
      <c r="B14" s="4">
        <f>SUM(#REF!)</f>
        <v>781</v>
      </c>
      <c r="C14" s="28">
        <f>SUM(#REF!)</f>
        <v>0</v>
      </c>
      <c r="D14" s="296">
        <f>SUM(#REF!)</f>
        <v>9923.3700000000008</v>
      </c>
    </row>
    <row r="15" spans="1:19" s="9" customFormat="1" ht="19.5" thickBot="1" x14ac:dyDescent="0.35">
      <c r="A15" s="10" t="s">
        <v>20</v>
      </c>
      <c r="B15" s="5">
        <f>SUM(B6:B14)</f>
        <v>6313.36</v>
      </c>
      <c r="C15" s="297">
        <f>SUM(C6:C11)</f>
        <v>7275</v>
      </c>
      <c r="D15" s="298">
        <f>SUM(D6:D14)</f>
        <v>16308.53</v>
      </c>
      <c r="E15" s="8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9.5" thickTop="1" x14ac:dyDescent="0.3"/>
    <row r="17" spans="1:19" s="9" customFormat="1" x14ac:dyDescent="0.3">
      <c r="A17" s="14" t="s">
        <v>21</v>
      </c>
      <c r="B17" s="3"/>
      <c r="C17" s="299"/>
      <c r="D17" s="295"/>
      <c r="E17" s="8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3">
      <c r="A18" s="13" t="s">
        <v>11</v>
      </c>
      <c r="B18" s="300">
        <f>SUM(#REF!)</f>
        <v>1403.44</v>
      </c>
      <c r="C18" s="28">
        <f>SUM(#REF!)</f>
        <v>3282</v>
      </c>
      <c r="D18" s="28">
        <f>SUM(#REF!)</f>
        <v>2940.28</v>
      </c>
    </row>
    <row r="19" spans="1:19" x14ac:dyDescent="0.3">
      <c r="A19" s="13" t="s">
        <v>205</v>
      </c>
      <c r="B19" s="300">
        <f>#REF!</f>
        <v>104</v>
      </c>
      <c r="C19" s="28">
        <f>SUM(#REF!)</f>
        <v>312</v>
      </c>
      <c r="D19" s="28">
        <f>SUM(#REF!)</f>
        <v>338</v>
      </c>
    </row>
    <row r="20" spans="1:19" x14ac:dyDescent="0.3">
      <c r="A20" s="13" t="s">
        <v>206</v>
      </c>
      <c r="B20" s="300">
        <f>#REF!</f>
        <v>46.06</v>
      </c>
      <c r="C20" s="28">
        <f>SUM(#REF!)</f>
        <v>125</v>
      </c>
      <c r="D20" s="28">
        <f>SUM(#REF!)</f>
        <v>112.93</v>
      </c>
    </row>
    <row r="21" spans="1:19" x14ac:dyDescent="0.3">
      <c r="A21" s="13" t="s">
        <v>189</v>
      </c>
      <c r="B21" s="300">
        <f>#REF!</f>
        <v>20.18</v>
      </c>
      <c r="C21" s="28">
        <f>SUM(#REF!)</f>
        <v>150</v>
      </c>
      <c r="D21" s="28">
        <f>SUM(#REF!)</f>
        <v>92.06</v>
      </c>
    </row>
    <row r="22" spans="1:19" x14ac:dyDescent="0.3">
      <c r="A22" s="13" t="s">
        <v>76</v>
      </c>
      <c r="B22" s="300">
        <f>#REF!</f>
        <v>114.21000000000001</v>
      </c>
      <c r="C22" s="28">
        <f>SUM(#REF!)</f>
        <v>46</v>
      </c>
      <c r="D22" s="28">
        <f>SUM(#REF!)</f>
        <v>37.229999999999997</v>
      </c>
    </row>
    <row r="23" spans="1:19" x14ac:dyDescent="0.3">
      <c r="A23" s="13" t="s">
        <v>52</v>
      </c>
      <c r="B23" s="300">
        <f>#REF!</f>
        <v>65</v>
      </c>
      <c r="C23" s="28">
        <f>SUM(#REF!)</f>
        <v>75</v>
      </c>
      <c r="D23" s="28">
        <f>SUM(#REF!)</f>
        <v>80</v>
      </c>
    </row>
    <row r="24" spans="1:19" x14ac:dyDescent="0.3">
      <c r="A24" s="13" t="s">
        <v>190</v>
      </c>
      <c r="B24" s="300">
        <f>#REF!</f>
        <v>150</v>
      </c>
      <c r="C24" s="28">
        <f>SUM(#REF!)</f>
        <v>400</v>
      </c>
      <c r="D24" s="28">
        <f>SUM(#REF!)</f>
        <v>190.33</v>
      </c>
    </row>
    <row r="25" spans="1:19" x14ac:dyDescent="0.3">
      <c r="A25" s="13" t="s">
        <v>12</v>
      </c>
      <c r="B25" s="300">
        <f>SUM(#REF!)</f>
        <v>211.32999999999998</v>
      </c>
      <c r="C25" s="28">
        <f>SUM(#REF!)</f>
        <v>400</v>
      </c>
      <c r="D25" s="28">
        <f>SUM(#REF!)</f>
        <v>88.78</v>
      </c>
    </row>
    <row r="26" spans="1:19" x14ac:dyDescent="0.3">
      <c r="A26" s="13" t="s">
        <v>74</v>
      </c>
      <c r="B26" s="300">
        <f>#REF!</f>
        <v>0</v>
      </c>
      <c r="C26" s="28">
        <f>SUM(#REF!)</f>
        <v>112</v>
      </c>
      <c r="D26" s="28">
        <f>SUM(#REF!)</f>
        <v>136</v>
      </c>
    </row>
    <row r="27" spans="1:19" x14ac:dyDescent="0.3">
      <c r="A27" s="13" t="s">
        <v>191</v>
      </c>
      <c r="B27" s="300">
        <f>#REF!</f>
        <v>0</v>
      </c>
      <c r="C27" s="28">
        <f>SUM(#REF!)</f>
        <v>916.66</v>
      </c>
      <c r="D27" s="28">
        <f>SUM(#REF!)</f>
        <v>746.6</v>
      </c>
    </row>
    <row r="28" spans="1:19" x14ac:dyDescent="0.3">
      <c r="A28" s="13" t="s">
        <v>13</v>
      </c>
      <c r="B28" s="300">
        <f>#REF!</f>
        <v>191.64</v>
      </c>
      <c r="C28" s="28">
        <f>SUM(#REF!)</f>
        <v>200</v>
      </c>
      <c r="D28" s="28">
        <f>SUM(#REF!)</f>
        <v>187.86</v>
      </c>
    </row>
    <row r="29" spans="1:19" x14ac:dyDescent="0.3">
      <c r="A29" s="13" t="s">
        <v>192</v>
      </c>
      <c r="B29" s="300">
        <f>#REF!</f>
        <v>154</v>
      </c>
      <c r="C29" s="28">
        <f>SUM(#REF!)</f>
        <v>154</v>
      </c>
      <c r="D29" s="28">
        <f>SUM(#REF!)</f>
        <v>154</v>
      </c>
    </row>
    <row r="30" spans="1:19" x14ac:dyDescent="0.3">
      <c r="A30" s="13" t="s">
        <v>193</v>
      </c>
      <c r="B30" s="300">
        <f>#REF!</f>
        <v>800</v>
      </c>
      <c r="C30" s="28">
        <f>SUM(#REF!)</f>
        <v>300</v>
      </c>
      <c r="D30" s="28">
        <f>SUM(#REF!)</f>
        <v>1062</v>
      </c>
    </row>
    <row r="31" spans="1:19" x14ac:dyDescent="0.3">
      <c r="A31" s="13" t="s">
        <v>194</v>
      </c>
      <c r="B31" s="300">
        <f>#REF!</f>
        <v>0</v>
      </c>
      <c r="C31" s="28">
        <f>SUM(#REF!)</f>
        <v>40</v>
      </c>
      <c r="D31" s="28">
        <f>SUM(#REF!)</f>
        <v>0</v>
      </c>
    </row>
    <row r="32" spans="1:19" x14ac:dyDescent="0.3">
      <c r="A32" s="13" t="s">
        <v>43</v>
      </c>
      <c r="B32" s="300">
        <f>#REF!</f>
        <v>0</v>
      </c>
      <c r="C32" s="28">
        <f>SUM(#REF!)</f>
        <v>130</v>
      </c>
      <c r="D32" s="28">
        <f>SUM(#REF!)</f>
        <v>123.87</v>
      </c>
      <c r="G32" s="69"/>
    </row>
    <row r="33" spans="1:19" x14ac:dyDescent="0.3">
      <c r="A33" s="13" t="s">
        <v>195</v>
      </c>
      <c r="B33" s="300">
        <f>#REF!</f>
        <v>0</v>
      </c>
      <c r="C33" s="28">
        <f>SUM(#REF!)</f>
        <v>80</v>
      </c>
      <c r="D33" s="28">
        <f>SUM(#REF!)</f>
        <v>99.17</v>
      </c>
      <c r="G33" s="69"/>
    </row>
    <row r="34" spans="1:19" x14ac:dyDescent="0.3">
      <c r="A34" s="13" t="s">
        <v>3</v>
      </c>
      <c r="B34" s="300">
        <f>#REF!</f>
        <v>0</v>
      </c>
      <c r="C34" s="28">
        <f>SUM(#REF!)</f>
        <v>150</v>
      </c>
      <c r="D34" s="28">
        <f>SUM(#REF!)</f>
        <v>0</v>
      </c>
      <c r="G34" s="69"/>
    </row>
    <row r="35" spans="1:19" x14ac:dyDescent="0.3">
      <c r="A35" s="13" t="s">
        <v>53</v>
      </c>
      <c r="B35" s="300">
        <f>#REF!</f>
        <v>0</v>
      </c>
      <c r="C35" s="28">
        <f>SUM(#REF!)</f>
        <v>0</v>
      </c>
      <c r="D35" s="28">
        <f>SUM(#REF!)</f>
        <v>0</v>
      </c>
      <c r="G35" s="69"/>
    </row>
    <row r="36" spans="1:19" x14ac:dyDescent="0.3">
      <c r="A36" s="13" t="s">
        <v>208</v>
      </c>
      <c r="B36" s="300">
        <f>#REF!</f>
        <v>0</v>
      </c>
      <c r="C36" s="28">
        <f>SUM(#REF!)</f>
        <v>100</v>
      </c>
      <c r="D36" s="28">
        <f>SUM(#REF!)</f>
        <v>1070.1400000000001</v>
      </c>
      <c r="G36" s="69"/>
    </row>
    <row r="37" spans="1:19" x14ac:dyDescent="0.3">
      <c r="A37" s="13" t="s">
        <v>196</v>
      </c>
      <c r="B37" s="300">
        <f>SUM(#REF!)</f>
        <v>281</v>
      </c>
      <c r="C37" s="28">
        <f>SUM(#REF!)</f>
        <v>0</v>
      </c>
      <c r="D37" s="28">
        <f>SUM(#REF!)</f>
        <v>0</v>
      </c>
      <c r="G37" s="31"/>
    </row>
    <row r="38" spans="1:19" s="9" customFormat="1" ht="19.5" thickBot="1" x14ac:dyDescent="0.35">
      <c r="B38" s="5">
        <f>SUM(B18:B36)</f>
        <v>3259.86</v>
      </c>
      <c r="C38" s="301">
        <f>SUM(C18:C36)</f>
        <v>6972.66</v>
      </c>
      <c r="D38" s="302">
        <f>SUM(D18:D36)</f>
        <v>7459.25</v>
      </c>
      <c r="E38" s="8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9.5" thickTop="1" x14ac:dyDescent="0.3"/>
    <row r="40" spans="1:19" x14ac:dyDescent="0.3">
      <c r="B40" s="29">
        <f>SUM('Bank Recon'!D27)</f>
        <v>3881.02</v>
      </c>
    </row>
    <row r="41" spans="1:19" x14ac:dyDescent="0.3">
      <c r="A41" s="13"/>
    </row>
    <row r="42" spans="1:19" x14ac:dyDescent="0.3">
      <c r="A42" s="13"/>
    </row>
    <row r="43" spans="1:19" x14ac:dyDescent="0.3">
      <c r="A43" s="13" t="s">
        <v>19</v>
      </c>
      <c r="B43" s="4">
        <f>+B15</f>
        <v>6313.36</v>
      </c>
      <c r="D43" s="29">
        <f>+D15</f>
        <v>16308.53</v>
      </c>
    </row>
    <row r="44" spans="1:19" x14ac:dyDescent="0.3">
      <c r="A44" s="13" t="s">
        <v>22</v>
      </c>
      <c r="B44" s="4">
        <f>+B38</f>
        <v>3259.86</v>
      </c>
      <c r="D44" s="29">
        <f>+D38</f>
        <v>7459.25</v>
      </c>
    </row>
    <row r="45" spans="1:19" ht="19.5" thickBot="1" x14ac:dyDescent="0.35">
      <c r="A45" s="13" t="s">
        <v>23</v>
      </c>
      <c r="B45" s="5">
        <f>SUM(B40:B43)-B44</f>
        <v>6934.5199999999986</v>
      </c>
      <c r="D45" s="303">
        <f>SUM(D40:D43)-D44</f>
        <v>8849.2800000000007</v>
      </c>
    </row>
    <row r="46" spans="1:19" ht="19.5" thickTop="1" x14ac:dyDescent="0.3"/>
    <row r="47" spans="1:19" x14ac:dyDescent="0.3">
      <c r="A47" s="13" t="s">
        <v>24</v>
      </c>
    </row>
    <row r="48" spans="1:19" x14ac:dyDescent="0.3">
      <c r="A48" s="13" t="s">
        <v>25</v>
      </c>
      <c r="B48" s="300">
        <f>SUM('Bank Recon'!C10)</f>
        <v>3383.63</v>
      </c>
    </row>
    <row r="49" spans="1:4" x14ac:dyDescent="0.3">
      <c r="A49" s="13" t="s">
        <v>196</v>
      </c>
      <c r="B49" s="300">
        <f>SUM('Bank Recon'!C11)</f>
        <v>6919.39</v>
      </c>
    </row>
    <row r="50" spans="1:4" x14ac:dyDescent="0.3">
      <c r="A50" s="13" t="s">
        <v>26</v>
      </c>
      <c r="B50" s="300">
        <f>'Bank Recon'!D18</f>
        <v>10303.02</v>
      </c>
      <c r="D50" s="29">
        <v>0</v>
      </c>
    </row>
    <row r="51" spans="1:4" ht="19.5" thickBot="1" x14ac:dyDescent="0.35">
      <c r="A51" s="13"/>
      <c r="B51" s="5">
        <f>SUM(B48:B49)-B50</f>
        <v>0</v>
      </c>
      <c r="D51" s="303">
        <f>SUM(D48:D48)-D50</f>
        <v>0</v>
      </c>
    </row>
    <row r="52" spans="1:4" ht="19.5" thickTop="1" x14ac:dyDescent="0.3">
      <c r="A52" s="13"/>
    </row>
    <row r="53" spans="1:4" x14ac:dyDescent="0.3">
      <c r="A53" s="13" t="s">
        <v>27</v>
      </c>
      <c r="B53" s="4">
        <f>B45-B51</f>
        <v>6934.5199999999986</v>
      </c>
    </row>
    <row r="54" spans="1:4" x14ac:dyDescent="0.3">
      <c r="A54" s="13"/>
    </row>
    <row r="55" spans="1:4" x14ac:dyDescent="0.3">
      <c r="A55" s="13"/>
    </row>
    <row r="56" spans="1:4" x14ac:dyDescent="0.3">
      <c r="A56" s="13"/>
    </row>
    <row r="57" spans="1:4" x14ac:dyDescent="0.3">
      <c r="A57" s="13"/>
    </row>
    <row r="58" spans="1:4" x14ac:dyDescent="0.3">
      <c r="A58" s="13"/>
    </row>
    <row r="59" spans="1:4" x14ac:dyDescent="0.3">
      <c r="A59" s="13"/>
    </row>
    <row r="60" spans="1:4" x14ac:dyDescent="0.3">
      <c r="A60" s="13"/>
    </row>
    <row r="61" spans="1:4" x14ac:dyDescent="0.3">
      <c r="A61" s="13"/>
    </row>
    <row r="62" spans="1:4" x14ac:dyDescent="0.3">
      <c r="A62" s="13"/>
    </row>
    <row r="63" spans="1:4" x14ac:dyDescent="0.3">
      <c r="A63" s="13"/>
    </row>
    <row r="64" spans="1:4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  <row r="80" spans="1:1" x14ac:dyDescent="0.3">
      <c r="A80" s="13"/>
    </row>
    <row r="81" spans="1:1" x14ac:dyDescent="0.3">
      <c r="A81" s="13"/>
    </row>
    <row r="82" spans="1:1" x14ac:dyDescent="0.3">
      <c r="A82" s="13"/>
    </row>
    <row r="83" spans="1:1" x14ac:dyDescent="0.3">
      <c r="A83" s="13"/>
    </row>
    <row r="84" spans="1:1" x14ac:dyDescent="0.3">
      <c r="A84" s="13"/>
    </row>
    <row r="85" spans="1:1" x14ac:dyDescent="0.3">
      <c r="A85" s="13"/>
    </row>
    <row r="86" spans="1:1" x14ac:dyDescent="0.3">
      <c r="A86" s="13"/>
    </row>
    <row r="87" spans="1:1" x14ac:dyDescent="0.3">
      <c r="A87" s="13"/>
    </row>
    <row r="88" spans="1:1" x14ac:dyDescent="0.3">
      <c r="A88" s="13"/>
    </row>
    <row r="89" spans="1:1" x14ac:dyDescent="0.3">
      <c r="A89" s="13"/>
    </row>
    <row r="90" spans="1:1" x14ac:dyDescent="0.3">
      <c r="A90" s="13"/>
    </row>
    <row r="91" spans="1:1" x14ac:dyDescent="0.3">
      <c r="A91" s="13"/>
    </row>
    <row r="92" spans="1:1" x14ac:dyDescent="0.3">
      <c r="A92" s="13"/>
    </row>
    <row r="93" spans="1:1" x14ac:dyDescent="0.3">
      <c r="A93" s="13"/>
    </row>
    <row r="94" spans="1:1" x14ac:dyDescent="0.3">
      <c r="A94" s="13"/>
    </row>
    <row r="95" spans="1:1" x14ac:dyDescent="0.3">
      <c r="A95" s="13"/>
    </row>
    <row r="96" spans="1:1" x14ac:dyDescent="0.3">
      <c r="A96" s="13"/>
    </row>
    <row r="97" spans="1:1" x14ac:dyDescent="0.3">
      <c r="A97" s="13"/>
    </row>
    <row r="98" spans="1:1" x14ac:dyDescent="0.3">
      <c r="A98" s="13"/>
    </row>
    <row r="99" spans="1:1" x14ac:dyDescent="0.3">
      <c r="A99" s="13"/>
    </row>
    <row r="100" spans="1:1" x14ac:dyDescent="0.3">
      <c r="A100" s="13"/>
    </row>
    <row r="101" spans="1:1" x14ac:dyDescent="0.3">
      <c r="A101" s="13"/>
    </row>
    <row r="102" spans="1:1" x14ac:dyDescent="0.3">
      <c r="A102" s="13"/>
    </row>
    <row r="103" spans="1:1" x14ac:dyDescent="0.3">
      <c r="A103" s="13"/>
    </row>
    <row r="104" spans="1:1" x14ac:dyDescent="0.3">
      <c r="A104" s="13"/>
    </row>
    <row r="105" spans="1:1" x14ac:dyDescent="0.3">
      <c r="A105" s="13"/>
    </row>
    <row r="106" spans="1:1" x14ac:dyDescent="0.3">
      <c r="A106" s="13"/>
    </row>
    <row r="107" spans="1:1" x14ac:dyDescent="0.3">
      <c r="A107" s="13"/>
    </row>
    <row r="108" spans="1:1" x14ac:dyDescent="0.3">
      <c r="A108" s="13"/>
    </row>
    <row r="109" spans="1:1" x14ac:dyDescent="0.3">
      <c r="A109" s="13"/>
    </row>
    <row r="110" spans="1:1" x14ac:dyDescent="0.3">
      <c r="A110" s="13"/>
    </row>
    <row r="111" spans="1:1" x14ac:dyDescent="0.3">
      <c r="A111" s="13"/>
    </row>
    <row r="112" spans="1:1" x14ac:dyDescent="0.3">
      <c r="A112" s="13"/>
    </row>
    <row r="113" spans="1:1" x14ac:dyDescent="0.3">
      <c r="A113" s="13"/>
    </row>
    <row r="114" spans="1:1" x14ac:dyDescent="0.3">
      <c r="A114" s="13"/>
    </row>
    <row r="115" spans="1:1" x14ac:dyDescent="0.3">
      <c r="A115" s="13"/>
    </row>
    <row r="116" spans="1:1" x14ac:dyDescent="0.3">
      <c r="A116" s="13"/>
    </row>
    <row r="117" spans="1:1" x14ac:dyDescent="0.3">
      <c r="A117" s="13"/>
    </row>
    <row r="118" spans="1:1" x14ac:dyDescent="0.3">
      <c r="A118" s="13"/>
    </row>
    <row r="119" spans="1:1" x14ac:dyDescent="0.3">
      <c r="A119" s="13"/>
    </row>
    <row r="120" spans="1:1" x14ac:dyDescent="0.3">
      <c r="A120" s="13"/>
    </row>
    <row r="121" spans="1:1" x14ac:dyDescent="0.3">
      <c r="A121" s="13"/>
    </row>
    <row r="122" spans="1:1" x14ac:dyDescent="0.3">
      <c r="A122" s="13"/>
    </row>
    <row r="123" spans="1:1" x14ac:dyDescent="0.3">
      <c r="A123" s="13"/>
    </row>
    <row r="124" spans="1:1" x14ac:dyDescent="0.3">
      <c r="A124" s="13"/>
    </row>
    <row r="125" spans="1:1" x14ac:dyDescent="0.3">
      <c r="A125" s="13"/>
    </row>
    <row r="126" spans="1:1" x14ac:dyDescent="0.3">
      <c r="A126" s="13"/>
    </row>
    <row r="127" spans="1:1" x14ac:dyDescent="0.3">
      <c r="A127" s="13"/>
    </row>
    <row r="128" spans="1:1" x14ac:dyDescent="0.3">
      <c r="A128" s="13"/>
    </row>
    <row r="129" spans="1:1" x14ac:dyDescent="0.3">
      <c r="A129" s="13"/>
    </row>
    <row r="130" spans="1:1" x14ac:dyDescent="0.3">
      <c r="A130" s="13"/>
    </row>
    <row r="131" spans="1:1" x14ac:dyDescent="0.3">
      <c r="A131" s="13"/>
    </row>
    <row r="132" spans="1:1" x14ac:dyDescent="0.3">
      <c r="A132" s="13"/>
    </row>
    <row r="133" spans="1:1" x14ac:dyDescent="0.3">
      <c r="A133" s="13"/>
    </row>
    <row r="134" spans="1:1" x14ac:dyDescent="0.3">
      <c r="A134" s="13"/>
    </row>
    <row r="135" spans="1:1" x14ac:dyDescent="0.3">
      <c r="A135" s="13"/>
    </row>
    <row r="136" spans="1:1" x14ac:dyDescent="0.3">
      <c r="A136" s="13"/>
    </row>
    <row r="137" spans="1:1" x14ac:dyDescent="0.3">
      <c r="A137" s="13"/>
    </row>
    <row r="138" spans="1:1" x14ac:dyDescent="0.3">
      <c r="A138" s="13"/>
    </row>
    <row r="139" spans="1:1" x14ac:dyDescent="0.3">
      <c r="A139" s="13"/>
    </row>
    <row r="140" spans="1:1" x14ac:dyDescent="0.3">
      <c r="A140" s="13"/>
    </row>
    <row r="141" spans="1:1" x14ac:dyDescent="0.3">
      <c r="A141" s="13"/>
    </row>
    <row r="142" spans="1:1" x14ac:dyDescent="0.3">
      <c r="A142" s="13"/>
    </row>
    <row r="143" spans="1:1" x14ac:dyDescent="0.3">
      <c r="A143" s="13"/>
    </row>
    <row r="144" spans="1:1" x14ac:dyDescent="0.3">
      <c r="A144" s="13"/>
    </row>
    <row r="145" spans="1:1" x14ac:dyDescent="0.3">
      <c r="A145" s="13"/>
    </row>
    <row r="146" spans="1:1" x14ac:dyDescent="0.3">
      <c r="A146" s="13"/>
    </row>
    <row r="147" spans="1:1" x14ac:dyDescent="0.3">
      <c r="A147" s="13"/>
    </row>
    <row r="148" spans="1:1" x14ac:dyDescent="0.3">
      <c r="A148" s="13"/>
    </row>
    <row r="149" spans="1:1" x14ac:dyDescent="0.3">
      <c r="A149" s="13"/>
    </row>
    <row r="150" spans="1:1" x14ac:dyDescent="0.3">
      <c r="A150" s="13"/>
    </row>
    <row r="151" spans="1:1" x14ac:dyDescent="0.3">
      <c r="A151" s="13"/>
    </row>
    <row r="152" spans="1:1" x14ac:dyDescent="0.3">
      <c r="A152" s="13"/>
    </row>
    <row r="153" spans="1:1" x14ac:dyDescent="0.3">
      <c r="A153" s="13"/>
    </row>
    <row r="154" spans="1:1" x14ac:dyDescent="0.3">
      <c r="A154" s="13"/>
    </row>
    <row r="155" spans="1:1" x14ac:dyDescent="0.3">
      <c r="A155" s="13"/>
    </row>
    <row r="156" spans="1:1" x14ac:dyDescent="0.3">
      <c r="A156" s="13"/>
    </row>
    <row r="157" spans="1:1" x14ac:dyDescent="0.3">
      <c r="A157" s="13"/>
    </row>
    <row r="158" spans="1:1" x14ac:dyDescent="0.3">
      <c r="A158" s="13"/>
    </row>
    <row r="159" spans="1:1" x14ac:dyDescent="0.3">
      <c r="A159" s="13"/>
    </row>
    <row r="160" spans="1:1" x14ac:dyDescent="0.3">
      <c r="A160" s="13"/>
    </row>
    <row r="161" spans="1:1" x14ac:dyDescent="0.3">
      <c r="A161" s="13"/>
    </row>
    <row r="162" spans="1:1" x14ac:dyDescent="0.3">
      <c r="A162" s="13"/>
    </row>
    <row r="163" spans="1:1" x14ac:dyDescent="0.3">
      <c r="A163" s="13"/>
    </row>
    <row r="164" spans="1:1" x14ac:dyDescent="0.3">
      <c r="A164" s="13"/>
    </row>
    <row r="165" spans="1:1" x14ac:dyDescent="0.3">
      <c r="A165" s="13"/>
    </row>
    <row r="166" spans="1:1" x14ac:dyDescent="0.3">
      <c r="A166" s="13"/>
    </row>
    <row r="167" spans="1:1" x14ac:dyDescent="0.3">
      <c r="A167" s="13"/>
    </row>
    <row r="168" spans="1:1" x14ac:dyDescent="0.3">
      <c r="A168" s="13"/>
    </row>
    <row r="169" spans="1:1" x14ac:dyDescent="0.3">
      <c r="A169" s="13"/>
    </row>
    <row r="170" spans="1:1" x14ac:dyDescent="0.3">
      <c r="A170" s="13"/>
    </row>
    <row r="171" spans="1:1" x14ac:dyDescent="0.3">
      <c r="A171" s="13"/>
    </row>
    <row r="172" spans="1:1" x14ac:dyDescent="0.3">
      <c r="A172" s="13"/>
    </row>
    <row r="173" spans="1:1" x14ac:dyDescent="0.3">
      <c r="A173" s="13"/>
    </row>
    <row r="174" spans="1:1" x14ac:dyDescent="0.3">
      <c r="A174" s="13"/>
    </row>
    <row r="175" spans="1:1" x14ac:dyDescent="0.3">
      <c r="A175" s="13"/>
    </row>
    <row r="176" spans="1:1" x14ac:dyDescent="0.3">
      <c r="A176" s="13"/>
    </row>
    <row r="177" spans="1:1" x14ac:dyDescent="0.3">
      <c r="A177" s="13"/>
    </row>
    <row r="178" spans="1:1" x14ac:dyDescent="0.3">
      <c r="A178" s="13"/>
    </row>
    <row r="179" spans="1:1" x14ac:dyDescent="0.3">
      <c r="A179" s="13"/>
    </row>
    <row r="180" spans="1:1" x14ac:dyDescent="0.3">
      <c r="A180" s="13"/>
    </row>
    <row r="181" spans="1:1" x14ac:dyDescent="0.3">
      <c r="A181" s="13"/>
    </row>
    <row r="182" spans="1:1" x14ac:dyDescent="0.3">
      <c r="A182" s="13"/>
    </row>
    <row r="183" spans="1:1" x14ac:dyDescent="0.3">
      <c r="A183" s="13"/>
    </row>
    <row r="184" spans="1:1" x14ac:dyDescent="0.3">
      <c r="A184" s="13"/>
    </row>
    <row r="185" spans="1:1" x14ac:dyDescent="0.3">
      <c r="A185" s="13"/>
    </row>
    <row r="186" spans="1:1" x14ac:dyDescent="0.3">
      <c r="A186" s="13"/>
    </row>
    <row r="187" spans="1:1" x14ac:dyDescent="0.3">
      <c r="A187" s="13"/>
    </row>
    <row r="188" spans="1:1" x14ac:dyDescent="0.3">
      <c r="A188" s="13"/>
    </row>
    <row r="189" spans="1:1" x14ac:dyDescent="0.3">
      <c r="A189" s="13"/>
    </row>
    <row r="190" spans="1:1" x14ac:dyDescent="0.3">
      <c r="A190" s="13"/>
    </row>
    <row r="191" spans="1:1" x14ac:dyDescent="0.3">
      <c r="A191" s="13"/>
    </row>
    <row r="192" spans="1:1" x14ac:dyDescent="0.3">
      <c r="A192" s="13"/>
    </row>
    <row r="193" spans="1:1" x14ac:dyDescent="0.3">
      <c r="A193" s="13"/>
    </row>
    <row r="194" spans="1:1" x14ac:dyDescent="0.3">
      <c r="A194" s="13"/>
    </row>
    <row r="195" spans="1:1" x14ac:dyDescent="0.3">
      <c r="A195" s="13"/>
    </row>
    <row r="196" spans="1:1" x14ac:dyDescent="0.3">
      <c r="A196" s="13"/>
    </row>
    <row r="197" spans="1:1" x14ac:dyDescent="0.3">
      <c r="A197" s="13"/>
    </row>
    <row r="198" spans="1:1" x14ac:dyDescent="0.3">
      <c r="A198" s="13"/>
    </row>
    <row r="199" spans="1:1" x14ac:dyDescent="0.3">
      <c r="A199" s="13"/>
    </row>
    <row r="200" spans="1:1" x14ac:dyDescent="0.3">
      <c r="A200" s="13"/>
    </row>
    <row r="201" spans="1:1" x14ac:dyDescent="0.3">
      <c r="A201" s="13"/>
    </row>
    <row r="202" spans="1:1" x14ac:dyDescent="0.3">
      <c r="A202" s="13"/>
    </row>
    <row r="203" spans="1:1" x14ac:dyDescent="0.3">
      <c r="A203" s="13"/>
    </row>
    <row r="204" spans="1:1" x14ac:dyDescent="0.3">
      <c r="A204" s="13"/>
    </row>
    <row r="205" spans="1:1" x14ac:dyDescent="0.3">
      <c r="A205" s="13"/>
    </row>
    <row r="206" spans="1:1" x14ac:dyDescent="0.3">
      <c r="A206" s="13"/>
    </row>
    <row r="207" spans="1:1" x14ac:dyDescent="0.3">
      <c r="A207" s="13"/>
    </row>
    <row r="208" spans="1:1" x14ac:dyDescent="0.3">
      <c r="A208" s="13"/>
    </row>
    <row r="209" spans="1:1" x14ac:dyDescent="0.3">
      <c r="A209" s="13"/>
    </row>
    <row r="210" spans="1:1" x14ac:dyDescent="0.3">
      <c r="A210" s="13"/>
    </row>
    <row r="211" spans="1:1" x14ac:dyDescent="0.3">
      <c r="A211" s="13"/>
    </row>
    <row r="212" spans="1:1" x14ac:dyDescent="0.3">
      <c r="A212" s="13"/>
    </row>
    <row r="213" spans="1:1" x14ac:dyDescent="0.3">
      <c r="A213" s="13"/>
    </row>
    <row r="214" spans="1:1" x14ac:dyDescent="0.3">
      <c r="A214" s="13"/>
    </row>
    <row r="215" spans="1:1" x14ac:dyDescent="0.3">
      <c r="A215" s="13"/>
    </row>
    <row r="216" spans="1:1" x14ac:dyDescent="0.3">
      <c r="A216" s="13"/>
    </row>
    <row r="217" spans="1:1" x14ac:dyDescent="0.3">
      <c r="A217" s="13"/>
    </row>
    <row r="218" spans="1:1" x14ac:dyDescent="0.3">
      <c r="A218" s="13"/>
    </row>
    <row r="219" spans="1:1" x14ac:dyDescent="0.3">
      <c r="A219" s="13"/>
    </row>
    <row r="220" spans="1:1" x14ac:dyDescent="0.3">
      <c r="A220" s="13"/>
    </row>
    <row r="221" spans="1:1" x14ac:dyDescent="0.3">
      <c r="A221" s="13"/>
    </row>
    <row r="222" spans="1:1" x14ac:dyDescent="0.3">
      <c r="A222" s="13"/>
    </row>
    <row r="223" spans="1:1" x14ac:dyDescent="0.3">
      <c r="A223" s="13"/>
    </row>
    <row r="224" spans="1:1" x14ac:dyDescent="0.3">
      <c r="A224" s="13"/>
    </row>
    <row r="225" spans="1:1" x14ac:dyDescent="0.3">
      <c r="A225" s="13"/>
    </row>
    <row r="226" spans="1:1" x14ac:dyDescent="0.3">
      <c r="A226" s="13"/>
    </row>
    <row r="227" spans="1:1" x14ac:dyDescent="0.3">
      <c r="A227" s="13"/>
    </row>
    <row r="228" spans="1:1" x14ac:dyDescent="0.3">
      <c r="A228" s="13"/>
    </row>
    <row r="229" spans="1:1" x14ac:dyDescent="0.3">
      <c r="A229" s="13"/>
    </row>
    <row r="230" spans="1:1" x14ac:dyDescent="0.3">
      <c r="A230" s="13"/>
    </row>
    <row r="231" spans="1:1" x14ac:dyDescent="0.3">
      <c r="A231" s="13"/>
    </row>
    <row r="232" spans="1:1" x14ac:dyDescent="0.3">
      <c r="A232" s="13"/>
    </row>
    <row r="233" spans="1:1" x14ac:dyDescent="0.3">
      <c r="A233" s="13"/>
    </row>
    <row r="234" spans="1:1" x14ac:dyDescent="0.3">
      <c r="A234" s="13"/>
    </row>
    <row r="235" spans="1:1" x14ac:dyDescent="0.3">
      <c r="A235" s="13"/>
    </row>
    <row r="236" spans="1:1" x14ac:dyDescent="0.3">
      <c r="A236" s="13"/>
    </row>
    <row r="237" spans="1:1" x14ac:dyDescent="0.3">
      <c r="A237" s="13"/>
    </row>
    <row r="238" spans="1:1" x14ac:dyDescent="0.3">
      <c r="A238" s="13"/>
    </row>
    <row r="239" spans="1:1" x14ac:dyDescent="0.3">
      <c r="A239" s="13"/>
    </row>
    <row r="240" spans="1:1" x14ac:dyDescent="0.3">
      <c r="A240" s="13"/>
    </row>
    <row r="241" spans="1:1" x14ac:dyDescent="0.3">
      <c r="A241" s="13"/>
    </row>
    <row r="242" spans="1:1" x14ac:dyDescent="0.3">
      <c r="A242" s="13"/>
    </row>
    <row r="243" spans="1:1" x14ac:dyDescent="0.3">
      <c r="A243" s="13"/>
    </row>
    <row r="244" spans="1:1" x14ac:dyDescent="0.3">
      <c r="A244" s="13"/>
    </row>
    <row r="245" spans="1:1" x14ac:dyDescent="0.3">
      <c r="A245" s="13"/>
    </row>
    <row r="246" spans="1:1" x14ac:dyDescent="0.3">
      <c r="A246" s="13"/>
    </row>
    <row r="247" spans="1:1" x14ac:dyDescent="0.3">
      <c r="A247" s="13"/>
    </row>
    <row r="248" spans="1:1" x14ac:dyDescent="0.3">
      <c r="A248" s="13"/>
    </row>
    <row r="249" spans="1:1" x14ac:dyDescent="0.3">
      <c r="A249" s="13"/>
    </row>
    <row r="250" spans="1:1" x14ac:dyDescent="0.3">
      <c r="A250" s="13"/>
    </row>
    <row r="251" spans="1:1" x14ac:dyDescent="0.3">
      <c r="A251" s="13"/>
    </row>
    <row r="252" spans="1:1" x14ac:dyDescent="0.3">
      <c r="A252" s="13"/>
    </row>
    <row r="253" spans="1:1" x14ac:dyDescent="0.3">
      <c r="A253" s="13"/>
    </row>
    <row r="254" spans="1:1" x14ac:dyDescent="0.3">
      <c r="A254" s="13"/>
    </row>
    <row r="255" spans="1:1" x14ac:dyDescent="0.3">
      <c r="A255" s="13"/>
    </row>
    <row r="256" spans="1:1" x14ac:dyDescent="0.3">
      <c r="A256" s="13"/>
    </row>
    <row r="257" spans="1:1" x14ac:dyDescent="0.3">
      <c r="A257" s="13"/>
    </row>
    <row r="258" spans="1:1" x14ac:dyDescent="0.3">
      <c r="A258" s="13"/>
    </row>
    <row r="259" spans="1:1" x14ac:dyDescent="0.3">
      <c r="A259" s="13"/>
    </row>
    <row r="260" spans="1:1" x14ac:dyDescent="0.3">
      <c r="A260" s="13"/>
    </row>
    <row r="261" spans="1:1" x14ac:dyDescent="0.3">
      <c r="A261" s="13"/>
    </row>
    <row r="262" spans="1:1" x14ac:dyDescent="0.3">
      <c r="A262" s="13"/>
    </row>
    <row r="263" spans="1:1" x14ac:dyDescent="0.3">
      <c r="A263" s="13"/>
    </row>
    <row r="264" spans="1:1" x14ac:dyDescent="0.3">
      <c r="A264" s="13"/>
    </row>
    <row r="265" spans="1:1" x14ac:dyDescent="0.3">
      <c r="A265" s="13"/>
    </row>
    <row r="266" spans="1:1" x14ac:dyDescent="0.3">
      <c r="A266" s="13"/>
    </row>
    <row r="267" spans="1:1" x14ac:dyDescent="0.3">
      <c r="A267" s="13"/>
    </row>
    <row r="268" spans="1:1" x14ac:dyDescent="0.3">
      <c r="A268" s="1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3AA9-D1EA-47D0-925F-9752FFC2AC95}">
  <sheetPr>
    <pageSetUpPr fitToPage="1"/>
  </sheetPr>
  <dimension ref="A1:V35"/>
  <sheetViews>
    <sheetView topLeftCell="D10" zoomScale="90" zoomScaleNormal="90" workbookViewId="0">
      <selection activeCell="C23" sqref="C23"/>
    </sheetView>
  </sheetViews>
  <sheetFormatPr defaultRowHeight="14.25" x14ac:dyDescent="0.2"/>
  <cols>
    <col min="1" max="1" width="10.85546875" style="219" customWidth="1"/>
    <col min="2" max="2" width="9.140625" style="219"/>
    <col min="3" max="3" width="32.5703125" style="219" customWidth="1"/>
    <col min="4" max="4" width="9.140625" style="219"/>
    <col min="5" max="5" width="3.28515625" style="219" customWidth="1"/>
    <col min="6" max="6" width="9.140625" style="219"/>
    <col min="7" max="7" width="10.140625" style="219" customWidth="1"/>
    <col min="8" max="8" width="9.5703125" style="219" customWidth="1"/>
    <col min="9" max="11" width="9.140625" style="219" hidden="1" customWidth="1"/>
    <col min="12" max="12" width="13.28515625" style="219" customWidth="1"/>
    <col min="13" max="13" width="50.42578125" style="220" bestFit="1" customWidth="1"/>
    <col min="14" max="14" width="86" style="219" bestFit="1" customWidth="1"/>
    <col min="15" max="256" width="9.140625" style="219"/>
    <col min="257" max="257" width="10.85546875" style="219" customWidth="1"/>
    <col min="258" max="258" width="9.140625" style="219"/>
    <col min="259" max="259" width="32.5703125" style="219" customWidth="1"/>
    <col min="260" max="260" width="9.140625" style="219"/>
    <col min="261" max="261" width="3.28515625" style="219" customWidth="1"/>
    <col min="262" max="262" width="9.140625" style="219"/>
    <col min="263" max="263" width="10.140625" style="219" customWidth="1"/>
    <col min="264" max="264" width="9.5703125" style="219" customWidth="1"/>
    <col min="265" max="267" width="0" style="219" hidden="1" customWidth="1"/>
    <col min="268" max="268" width="13.28515625" style="219" customWidth="1"/>
    <col min="269" max="269" width="50.42578125" style="219" bestFit="1" customWidth="1"/>
    <col min="270" max="270" width="86" style="219" bestFit="1" customWidth="1"/>
    <col min="271" max="512" width="9.140625" style="219"/>
    <col min="513" max="513" width="10.85546875" style="219" customWidth="1"/>
    <col min="514" max="514" width="9.140625" style="219"/>
    <col min="515" max="515" width="32.5703125" style="219" customWidth="1"/>
    <col min="516" max="516" width="9.140625" style="219"/>
    <col min="517" max="517" width="3.28515625" style="219" customWidth="1"/>
    <col min="518" max="518" width="9.140625" style="219"/>
    <col min="519" max="519" width="10.140625" style="219" customWidth="1"/>
    <col min="520" max="520" width="9.5703125" style="219" customWidth="1"/>
    <col min="521" max="523" width="0" style="219" hidden="1" customWidth="1"/>
    <col min="524" max="524" width="13.28515625" style="219" customWidth="1"/>
    <col min="525" max="525" width="50.42578125" style="219" bestFit="1" customWidth="1"/>
    <col min="526" max="526" width="86" style="219" bestFit="1" customWidth="1"/>
    <col min="527" max="768" width="9.140625" style="219"/>
    <col min="769" max="769" width="10.85546875" style="219" customWidth="1"/>
    <col min="770" max="770" width="9.140625" style="219"/>
    <col min="771" max="771" width="32.5703125" style="219" customWidth="1"/>
    <col min="772" max="772" width="9.140625" style="219"/>
    <col min="773" max="773" width="3.28515625" style="219" customWidth="1"/>
    <col min="774" max="774" width="9.140625" style="219"/>
    <col min="775" max="775" width="10.140625" style="219" customWidth="1"/>
    <col min="776" max="776" width="9.5703125" style="219" customWidth="1"/>
    <col min="777" max="779" width="0" style="219" hidden="1" customWidth="1"/>
    <col min="780" max="780" width="13.28515625" style="219" customWidth="1"/>
    <col min="781" max="781" width="50.42578125" style="219" bestFit="1" customWidth="1"/>
    <col min="782" max="782" width="86" style="219" bestFit="1" customWidth="1"/>
    <col min="783" max="1024" width="9.140625" style="219"/>
    <col min="1025" max="1025" width="10.85546875" style="219" customWidth="1"/>
    <col min="1026" max="1026" width="9.140625" style="219"/>
    <col min="1027" max="1027" width="32.5703125" style="219" customWidth="1"/>
    <col min="1028" max="1028" width="9.140625" style="219"/>
    <col min="1029" max="1029" width="3.28515625" style="219" customWidth="1"/>
    <col min="1030" max="1030" width="9.140625" style="219"/>
    <col min="1031" max="1031" width="10.140625" style="219" customWidth="1"/>
    <col min="1032" max="1032" width="9.5703125" style="219" customWidth="1"/>
    <col min="1033" max="1035" width="0" style="219" hidden="1" customWidth="1"/>
    <col min="1036" max="1036" width="13.28515625" style="219" customWidth="1"/>
    <col min="1037" max="1037" width="50.42578125" style="219" bestFit="1" customWidth="1"/>
    <col min="1038" max="1038" width="86" style="219" bestFit="1" customWidth="1"/>
    <col min="1039" max="1280" width="9.140625" style="219"/>
    <col min="1281" max="1281" width="10.85546875" style="219" customWidth="1"/>
    <col min="1282" max="1282" width="9.140625" style="219"/>
    <col min="1283" max="1283" width="32.5703125" style="219" customWidth="1"/>
    <col min="1284" max="1284" width="9.140625" style="219"/>
    <col min="1285" max="1285" width="3.28515625" style="219" customWidth="1"/>
    <col min="1286" max="1286" width="9.140625" style="219"/>
    <col min="1287" max="1287" width="10.140625" style="219" customWidth="1"/>
    <col min="1288" max="1288" width="9.5703125" style="219" customWidth="1"/>
    <col min="1289" max="1291" width="0" style="219" hidden="1" customWidth="1"/>
    <col min="1292" max="1292" width="13.28515625" style="219" customWidth="1"/>
    <col min="1293" max="1293" width="50.42578125" style="219" bestFit="1" customWidth="1"/>
    <col min="1294" max="1294" width="86" style="219" bestFit="1" customWidth="1"/>
    <col min="1295" max="1536" width="9.140625" style="219"/>
    <col min="1537" max="1537" width="10.85546875" style="219" customWidth="1"/>
    <col min="1538" max="1538" width="9.140625" style="219"/>
    <col min="1539" max="1539" width="32.5703125" style="219" customWidth="1"/>
    <col min="1540" max="1540" width="9.140625" style="219"/>
    <col min="1541" max="1541" width="3.28515625" style="219" customWidth="1"/>
    <col min="1542" max="1542" width="9.140625" style="219"/>
    <col min="1543" max="1543" width="10.140625" style="219" customWidth="1"/>
    <col min="1544" max="1544" width="9.5703125" style="219" customWidth="1"/>
    <col min="1545" max="1547" width="0" style="219" hidden="1" customWidth="1"/>
    <col min="1548" max="1548" width="13.28515625" style="219" customWidth="1"/>
    <col min="1549" max="1549" width="50.42578125" style="219" bestFit="1" customWidth="1"/>
    <col min="1550" max="1550" width="86" style="219" bestFit="1" customWidth="1"/>
    <col min="1551" max="1792" width="9.140625" style="219"/>
    <col min="1793" max="1793" width="10.85546875" style="219" customWidth="1"/>
    <col min="1794" max="1794" width="9.140625" style="219"/>
    <col min="1795" max="1795" width="32.5703125" style="219" customWidth="1"/>
    <col min="1796" max="1796" width="9.140625" style="219"/>
    <col min="1797" max="1797" width="3.28515625" style="219" customWidth="1"/>
    <col min="1798" max="1798" width="9.140625" style="219"/>
    <col min="1799" max="1799" width="10.140625" style="219" customWidth="1"/>
    <col min="1800" max="1800" width="9.5703125" style="219" customWidth="1"/>
    <col min="1801" max="1803" width="0" style="219" hidden="1" customWidth="1"/>
    <col min="1804" max="1804" width="13.28515625" style="219" customWidth="1"/>
    <col min="1805" max="1805" width="50.42578125" style="219" bestFit="1" customWidth="1"/>
    <col min="1806" max="1806" width="86" style="219" bestFit="1" customWidth="1"/>
    <col min="1807" max="2048" width="9.140625" style="219"/>
    <col min="2049" max="2049" width="10.85546875" style="219" customWidth="1"/>
    <col min="2050" max="2050" width="9.140625" style="219"/>
    <col min="2051" max="2051" width="32.5703125" style="219" customWidth="1"/>
    <col min="2052" max="2052" width="9.140625" style="219"/>
    <col min="2053" max="2053" width="3.28515625" style="219" customWidth="1"/>
    <col min="2054" max="2054" width="9.140625" style="219"/>
    <col min="2055" max="2055" width="10.140625" style="219" customWidth="1"/>
    <col min="2056" max="2056" width="9.5703125" style="219" customWidth="1"/>
    <col min="2057" max="2059" width="0" style="219" hidden="1" customWidth="1"/>
    <col min="2060" max="2060" width="13.28515625" style="219" customWidth="1"/>
    <col min="2061" max="2061" width="50.42578125" style="219" bestFit="1" customWidth="1"/>
    <col min="2062" max="2062" width="86" style="219" bestFit="1" customWidth="1"/>
    <col min="2063" max="2304" width="9.140625" style="219"/>
    <col min="2305" max="2305" width="10.85546875" style="219" customWidth="1"/>
    <col min="2306" max="2306" width="9.140625" style="219"/>
    <col min="2307" max="2307" width="32.5703125" style="219" customWidth="1"/>
    <col min="2308" max="2308" width="9.140625" style="219"/>
    <col min="2309" max="2309" width="3.28515625" style="219" customWidth="1"/>
    <col min="2310" max="2310" width="9.140625" style="219"/>
    <col min="2311" max="2311" width="10.140625" style="219" customWidth="1"/>
    <col min="2312" max="2312" width="9.5703125" style="219" customWidth="1"/>
    <col min="2313" max="2315" width="0" style="219" hidden="1" customWidth="1"/>
    <col min="2316" max="2316" width="13.28515625" style="219" customWidth="1"/>
    <col min="2317" max="2317" width="50.42578125" style="219" bestFit="1" customWidth="1"/>
    <col min="2318" max="2318" width="86" style="219" bestFit="1" customWidth="1"/>
    <col min="2319" max="2560" width="9.140625" style="219"/>
    <col min="2561" max="2561" width="10.85546875" style="219" customWidth="1"/>
    <col min="2562" max="2562" width="9.140625" style="219"/>
    <col min="2563" max="2563" width="32.5703125" style="219" customWidth="1"/>
    <col min="2564" max="2564" width="9.140625" style="219"/>
    <col min="2565" max="2565" width="3.28515625" style="219" customWidth="1"/>
    <col min="2566" max="2566" width="9.140625" style="219"/>
    <col min="2567" max="2567" width="10.140625" style="219" customWidth="1"/>
    <col min="2568" max="2568" width="9.5703125" style="219" customWidth="1"/>
    <col min="2569" max="2571" width="0" style="219" hidden="1" customWidth="1"/>
    <col min="2572" max="2572" width="13.28515625" style="219" customWidth="1"/>
    <col min="2573" max="2573" width="50.42578125" style="219" bestFit="1" customWidth="1"/>
    <col min="2574" max="2574" width="86" style="219" bestFit="1" customWidth="1"/>
    <col min="2575" max="2816" width="9.140625" style="219"/>
    <col min="2817" max="2817" width="10.85546875" style="219" customWidth="1"/>
    <col min="2818" max="2818" width="9.140625" style="219"/>
    <col min="2819" max="2819" width="32.5703125" style="219" customWidth="1"/>
    <col min="2820" max="2820" width="9.140625" style="219"/>
    <col min="2821" max="2821" width="3.28515625" style="219" customWidth="1"/>
    <col min="2822" max="2822" width="9.140625" style="219"/>
    <col min="2823" max="2823" width="10.140625" style="219" customWidth="1"/>
    <col min="2824" max="2824" width="9.5703125" style="219" customWidth="1"/>
    <col min="2825" max="2827" width="0" style="219" hidden="1" customWidth="1"/>
    <col min="2828" max="2828" width="13.28515625" style="219" customWidth="1"/>
    <col min="2829" max="2829" width="50.42578125" style="219" bestFit="1" customWidth="1"/>
    <col min="2830" max="2830" width="86" style="219" bestFit="1" customWidth="1"/>
    <col min="2831" max="3072" width="9.140625" style="219"/>
    <col min="3073" max="3073" width="10.85546875" style="219" customWidth="1"/>
    <col min="3074" max="3074" width="9.140625" style="219"/>
    <col min="3075" max="3075" width="32.5703125" style="219" customWidth="1"/>
    <col min="3076" max="3076" width="9.140625" style="219"/>
    <col min="3077" max="3077" width="3.28515625" style="219" customWidth="1"/>
    <col min="3078" max="3078" width="9.140625" style="219"/>
    <col min="3079" max="3079" width="10.140625" style="219" customWidth="1"/>
    <col min="3080" max="3080" width="9.5703125" style="219" customWidth="1"/>
    <col min="3081" max="3083" width="0" style="219" hidden="1" customWidth="1"/>
    <col min="3084" max="3084" width="13.28515625" style="219" customWidth="1"/>
    <col min="3085" max="3085" width="50.42578125" style="219" bestFit="1" customWidth="1"/>
    <col min="3086" max="3086" width="86" style="219" bestFit="1" customWidth="1"/>
    <col min="3087" max="3328" width="9.140625" style="219"/>
    <col min="3329" max="3329" width="10.85546875" style="219" customWidth="1"/>
    <col min="3330" max="3330" width="9.140625" style="219"/>
    <col min="3331" max="3331" width="32.5703125" style="219" customWidth="1"/>
    <col min="3332" max="3332" width="9.140625" style="219"/>
    <col min="3333" max="3333" width="3.28515625" style="219" customWidth="1"/>
    <col min="3334" max="3334" width="9.140625" style="219"/>
    <col min="3335" max="3335" width="10.140625" style="219" customWidth="1"/>
    <col min="3336" max="3336" width="9.5703125" style="219" customWidth="1"/>
    <col min="3337" max="3339" width="0" style="219" hidden="1" customWidth="1"/>
    <col min="3340" max="3340" width="13.28515625" style="219" customWidth="1"/>
    <col min="3341" max="3341" width="50.42578125" style="219" bestFit="1" customWidth="1"/>
    <col min="3342" max="3342" width="86" style="219" bestFit="1" customWidth="1"/>
    <col min="3343" max="3584" width="9.140625" style="219"/>
    <col min="3585" max="3585" width="10.85546875" style="219" customWidth="1"/>
    <col min="3586" max="3586" width="9.140625" style="219"/>
    <col min="3587" max="3587" width="32.5703125" style="219" customWidth="1"/>
    <col min="3588" max="3588" width="9.140625" style="219"/>
    <col min="3589" max="3589" width="3.28515625" style="219" customWidth="1"/>
    <col min="3590" max="3590" width="9.140625" style="219"/>
    <col min="3591" max="3591" width="10.140625" style="219" customWidth="1"/>
    <col min="3592" max="3592" width="9.5703125" style="219" customWidth="1"/>
    <col min="3593" max="3595" width="0" style="219" hidden="1" customWidth="1"/>
    <col min="3596" max="3596" width="13.28515625" style="219" customWidth="1"/>
    <col min="3597" max="3597" width="50.42578125" style="219" bestFit="1" customWidth="1"/>
    <col min="3598" max="3598" width="86" style="219" bestFit="1" customWidth="1"/>
    <col min="3599" max="3840" width="9.140625" style="219"/>
    <col min="3841" max="3841" width="10.85546875" style="219" customWidth="1"/>
    <col min="3842" max="3842" width="9.140625" style="219"/>
    <col min="3843" max="3843" width="32.5703125" style="219" customWidth="1"/>
    <col min="3844" max="3844" width="9.140625" style="219"/>
    <col min="3845" max="3845" width="3.28515625" style="219" customWidth="1"/>
    <col min="3846" max="3846" width="9.140625" style="219"/>
    <col min="3847" max="3847" width="10.140625" style="219" customWidth="1"/>
    <col min="3848" max="3848" width="9.5703125" style="219" customWidth="1"/>
    <col min="3849" max="3851" width="0" style="219" hidden="1" customWidth="1"/>
    <col min="3852" max="3852" width="13.28515625" style="219" customWidth="1"/>
    <col min="3853" max="3853" width="50.42578125" style="219" bestFit="1" customWidth="1"/>
    <col min="3854" max="3854" width="86" style="219" bestFit="1" customWidth="1"/>
    <col min="3855" max="4096" width="9.140625" style="219"/>
    <col min="4097" max="4097" width="10.85546875" style="219" customWidth="1"/>
    <col min="4098" max="4098" width="9.140625" style="219"/>
    <col min="4099" max="4099" width="32.5703125" style="219" customWidth="1"/>
    <col min="4100" max="4100" width="9.140625" style="219"/>
    <col min="4101" max="4101" width="3.28515625" style="219" customWidth="1"/>
    <col min="4102" max="4102" width="9.140625" style="219"/>
    <col min="4103" max="4103" width="10.140625" style="219" customWidth="1"/>
    <col min="4104" max="4104" width="9.5703125" style="219" customWidth="1"/>
    <col min="4105" max="4107" width="0" style="219" hidden="1" customWidth="1"/>
    <col min="4108" max="4108" width="13.28515625" style="219" customWidth="1"/>
    <col min="4109" max="4109" width="50.42578125" style="219" bestFit="1" customWidth="1"/>
    <col min="4110" max="4110" width="86" style="219" bestFit="1" customWidth="1"/>
    <col min="4111" max="4352" width="9.140625" style="219"/>
    <col min="4353" max="4353" width="10.85546875" style="219" customWidth="1"/>
    <col min="4354" max="4354" width="9.140625" style="219"/>
    <col min="4355" max="4355" width="32.5703125" style="219" customWidth="1"/>
    <col min="4356" max="4356" width="9.140625" style="219"/>
    <col min="4357" max="4357" width="3.28515625" style="219" customWidth="1"/>
    <col min="4358" max="4358" width="9.140625" style="219"/>
    <col min="4359" max="4359" width="10.140625" style="219" customWidth="1"/>
    <col min="4360" max="4360" width="9.5703125" style="219" customWidth="1"/>
    <col min="4361" max="4363" width="0" style="219" hidden="1" customWidth="1"/>
    <col min="4364" max="4364" width="13.28515625" style="219" customWidth="1"/>
    <col min="4365" max="4365" width="50.42578125" style="219" bestFit="1" customWidth="1"/>
    <col min="4366" max="4366" width="86" style="219" bestFit="1" customWidth="1"/>
    <col min="4367" max="4608" width="9.140625" style="219"/>
    <col min="4609" max="4609" width="10.85546875" style="219" customWidth="1"/>
    <col min="4610" max="4610" width="9.140625" style="219"/>
    <col min="4611" max="4611" width="32.5703125" style="219" customWidth="1"/>
    <col min="4612" max="4612" width="9.140625" style="219"/>
    <col min="4613" max="4613" width="3.28515625" style="219" customWidth="1"/>
    <col min="4614" max="4614" width="9.140625" style="219"/>
    <col min="4615" max="4615" width="10.140625" style="219" customWidth="1"/>
    <col min="4616" max="4616" width="9.5703125" style="219" customWidth="1"/>
    <col min="4617" max="4619" width="0" style="219" hidden="1" customWidth="1"/>
    <col min="4620" max="4620" width="13.28515625" style="219" customWidth="1"/>
    <col min="4621" max="4621" width="50.42578125" style="219" bestFit="1" customWidth="1"/>
    <col min="4622" max="4622" width="86" style="219" bestFit="1" customWidth="1"/>
    <col min="4623" max="4864" width="9.140625" style="219"/>
    <col min="4865" max="4865" width="10.85546875" style="219" customWidth="1"/>
    <col min="4866" max="4866" width="9.140625" style="219"/>
    <col min="4867" max="4867" width="32.5703125" style="219" customWidth="1"/>
    <col min="4868" max="4868" width="9.140625" style="219"/>
    <col min="4869" max="4869" width="3.28515625" style="219" customWidth="1"/>
    <col min="4870" max="4870" width="9.140625" style="219"/>
    <col min="4871" max="4871" width="10.140625" style="219" customWidth="1"/>
    <col min="4872" max="4872" width="9.5703125" style="219" customWidth="1"/>
    <col min="4873" max="4875" width="0" style="219" hidden="1" customWidth="1"/>
    <col min="4876" max="4876" width="13.28515625" style="219" customWidth="1"/>
    <col min="4877" max="4877" width="50.42578125" style="219" bestFit="1" customWidth="1"/>
    <col min="4878" max="4878" width="86" style="219" bestFit="1" customWidth="1"/>
    <col min="4879" max="5120" width="9.140625" style="219"/>
    <col min="5121" max="5121" width="10.85546875" style="219" customWidth="1"/>
    <col min="5122" max="5122" width="9.140625" style="219"/>
    <col min="5123" max="5123" width="32.5703125" style="219" customWidth="1"/>
    <col min="5124" max="5124" width="9.140625" style="219"/>
    <col min="5125" max="5125" width="3.28515625" style="219" customWidth="1"/>
    <col min="5126" max="5126" width="9.140625" style="219"/>
    <col min="5127" max="5127" width="10.140625" style="219" customWidth="1"/>
    <col min="5128" max="5128" width="9.5703125" style="219" customWidth="1"/>
    <col min="5129" max="5131" width="0" style="219" hidden="1" customWidth="1"/>
    <col min="5132" max="5132" width="13.28515625" style="219" customWidth="1"/>
    <col min="5133" max="5133" width="50.42578125" style="219" bestFit="1" customWidth="1"/>
    <col min="5134" max="5134" width="86" style="219" bestFit="1" customWidth="1"/>
    <col min="5135" max="5376" width="9.140625" style="219"/>
    <col min="5377" max="5377" width="10.85546875" style="219" customWidth="1"/>
    <col min="5378" max="5378" width="9.140625" style="219"/>
    <col min="5379" max="5379" width="32.5703125" style="219" customWidth="1"/>
    <col min="5380" max="5380" width="9.140625" style="219"/>
    <col min="5381" max="5381" width="3.28515625" style="219" customWidth="1"/>
    <col min="5382" max="5382" width="9.140625" style="219"/>
    <col min="5383" max="5383" width="10.140625" style="219" customWidth="1"/>
    <col min="5384" max="5384" width="9.5703125" style="219" customWidth="1"/>
    <col min="5385" max="5387" width="0" style="219" hidden="1" customWidth="1"/>
    <col min="5388" max="5388" width="13.28515625" style="219" customWidth="1"/>
    <col min="5389" max="5389" width="50.42578125" style="219" bestFit="1" customWidth="1"/>
    <col min="5390" max="5390" width="86" style="219" bestFit="1" customWidth="1"/>
    <col min="5391" max="5632" width="9.140625" style="219"/>
    <col min="5633" max="5633" width="10.85546875" style="219" customWidth="1"/>
    <col min="5634" max="5634" width="9.140625" style="219"/>
    <col min="5635" max="5635" width="32.5703125" style="219" customWidth="1"/>
    <col min="5636" max="5636" width="9.140625" style="219"/>
    <col min="5637" max="5637" width="3.28515625" style="219" customWidth="1"/>
    <col min="5638" max="5638" width="9.140625" style="219"/>
    <col min="5639" max="5639" width="10.140625" style="219" customWidth="1"/>
    <col min="5640" max="5640" width="9.5703125" style="219" customWidth="1"/>
    <col min="5641" max="5643" width="0" style="219" hidden="1" customWidth="1"/>
    <col min="5644" max="5644" width="13.28515625" style="219" customWidth="1"/>
    <col min="5645" max="5645" width="50.42578125" style="219" bestFit="1" customWidth="1"/>
    <col min="5646" max="5646" width="86" style="219" bestFit="1" customWidth="1"/>
    <col min="5647" max="5888" width="9.140625" style="219"/>
    <col min="5889" max="5889" width="10.85546875" style="219" customWidth="1"/>
    <col min="5890" max="5890" width="9.140625" style="219"/>
    <col min="5891" max="5891" width="32.5703125" style="219" customWidth="1"/>
    <col min="5892" max="5892" width="9.140625" style="219"/>
    <col min="5893" max="5893" width="3.28515625" style="219" customWidth="1"/>
    <col min="5894" max="5894" width="9.140625" style="219"/>
    <col min="5895" max="5895" width="10.140625" style="219" customWidth="1"/>
    <col min="5896" max="5896" width="9.5703125" style="219" customWidth="1"/>
    <col min="5897" max="5899" width="0" style="219" hidden="1" customWidth="1"/>
    <col min="5900" max="5900" width="13.28515625" style="219" customWidth="1"/>
    <col min="5901" max="5901" width="50.42578125" style="219" bestFit="1" customWidth="1"/>
    <col min="5902" max="5902" width="86" style="219" bestFit="1" customWidth="1"/>
    <col min="5903" max="6144" width="9.140625" style="219"/>
    <col min="6145" max="6145" width="10.85546875" style="219" customWidth="1"/>
    <col min="6146" max="6146" width="9.140625" style="219"/>
    <col min="6147" max="6147" width="32.5703125" style="219" customWidth="1"/>
    <col min="6148" max="6148" width="9.140625" style="219"/>
    <col min="6149" max="6149" width="3.28515625" style="219" customWidth="1"/>
    <col min="6150" max="6150" width="9.140625" style="219"/>
    <col min="6151" max="6151" width="10.140625" style="219" customWidth="1"/>
    <col min="6152" max="6152" width="9.5703125" style="219" customWidth="1"/>
    <col min="6153" max="6155" width="0" style="219" hidden="1" customWidth="1"/>
    <col min="6156" max="6156" width="13.28515625" style="219" customWidth="1"/>
    <col min="6157" max="6157" width="50.42578125" style="219" bestFit="1" customWidth="1"/>
    <col min="6158" max="6158" width="86" style="219" bestFit="1" customWidth="1"/>
    <col min="6159" max="6400" width="9.140625" style="219"/>
    <col min="6401" max="6401" width="10.85546875" style="219" customWidth="1"/>
    <col min="6402" max="6402" width="9.140625" style="219"/>
    <col min="6403" max="6403" width="32.5703125" style="219" customWidth="1"/>
    <col min="6404" max="6404" width="9.140625" style="219"/>
    <col min="6405" max="6405" width="3.28515625" style="219" customWidth="1"/>
    <col min="6406" max="6406" width="9.140625" style="219"/>
    <col min="6407" max="6407" width="10.140625" style="219" customWidth="1"/>
    <col min="6408" max="6408" width="9.5703125" style="219" customWidth="1"/>
    <col min="6409" max="6411" width="0" style="219" hidden="1" customWidth="1"/>
    <col min="6412" max="6412" width="13.28515625" style="219" customWidth="1"/>
    <col min="6413" max="6413" width="50.42578125" style="219" bestFit="1" customWidth="1"/>
    <col min="6414" max="6414" width="86" style="219" bestFit="1" customWidth="1"/>
    <col min="6415" max="6656" width="9.140625" style="219"/>
    <col min="6657" max="6657" width="10.85546875" style="219" customWidth="1"/>
    <col min="6658" max="6658" width="9.140625" style="219"/>
    <col min="6659" max="6659" width="32.5703125" style="219" customWidth="1"/>
    <col min="6660" max="6660" width="9.140625" style="219"/>
    <col min="6661" max="6661" width="3.28515625" style="219" customWidth="1"/>
    <col min="6662" max="6662" width="9.140625" style="219"/>
    <col min="6663" max="6663" width="10.140625" style="219" customWidth="1"/>
    <col min="6664" max="6664" width="9.5703125" style="219" customWidth="1"/>
    <col min="6665" max="6667" width="0" style="219" hidden="1" customWidth="1"/>
    <col min="6668" max="6668" width="13.28515625" style="219" customWidth="1"/>
    <col min="6669" max="6669" width="50.42578125" style="219" bestFit="1" customWidth="1"/>
    <col min="6670" max="6670" width="86" style="219" bestFit="1" customWidth="1"/>
    <col min="6671" max="6912" width="9.140625" style="219"/>
    <col min="6913" max="6913" width="10.85546875" style="219" customWidth="1"/>
    <col min="6914" max="6914" width="9.140625" style="219"/>
    <col min="6915" max="6915" width="32.5703125" style="219" customWidth="1"/>
    <col min="6916" max="6916" width="9.140625" style="219"/>
    <col min="6917" max="6917" width="3.28515625" style="219" customWidth="1"/>
    <col min="6918" max="6918" width="9.140625" style="219"/>
    <col min="6919" max="6919" width="10.140625" style="219" customWidth="1"/>
    <col min="6920" max="6920" width="9.5703125" style="219" customWidth="1"/>
    <col min="6921" max="6923" width="0" style="219" hidden="1" customWidth="1"/>
    <col min="6924" max="6924" width="13.28515625" style="219" customWidth="1"/>
    <col min="6925" max="6925" width="50.42578125" style="219" bestFit="1" customWidth="1"/>
    <col min="6926" max="6926" width="86" style="219" bestFit="1" customWidth="1"/>
    <col min="6927" max="7168" width="9.140625" style="219"/>
    <col min="7169" max="7169" width="10.85546875" style="219" customWidth="1"/>
    <col min="7170" max="7170" width="9.140625" style="219"/>
    <col min="7171" max="7171" width="32.5703125" style="219" customWidth="1"/>
    <col min="7172" max="7172" width="9.140625" style="219"/>
    <col min="7173" max="7173" width="3.28515625" style="219" customWidth="1"/>
    <col min="7174" max="7174" width="9.140625" style="219"/>
    <col min="7175" max="7175" width="10.140625" style="219" customWidth="1"/>
    <col min="7176" max="7176" width="9.5703125" style="219" customWidth="1"/>
    <col min="7177" max="7179" width="0" style="219" hidden="1" customWidth="1"/>
    <col min="7180" max="7180" width="13.28515625" style="219" customWidth="1"/>
    <col min="7181" max="7181" width="50.42578125" style="219" bestFit="1" customWidth="1"/>
    <col min="7182" max="7182" width="86" style="219" bestFit="1" customWidth="1"/>
    <col min="7183" max="7424" width="9.140625" style="219"/>
    <col min="7425" max="7425" width="10.85546875" style="219" customWidth="1"/>
    <col min="7426" max="7426" width="9.140625" style="219"/>
    <col min="7427" max="7427" width="32.5703125" style="219" customWidth="1"/>
    <col min="7428" max="7428" width="9.140625" style="219"/>
    <col min="7429" max="7429" width="3.28515625" style="219" customWidth="1"/>
    <col min="7430" max="7430" width="9.140625" style="219"/>
    <col min="7431" max="7431" width="10.140625" style="219" customWidth="1"/>
    <col min="7432" max="7432" width="9.5703125" style="219" customWidth="1"/>
    <col min="7433" max="7435" width="0" style="219" hidden="1" customWidth="1"/>
    <col min="7436" max="7436" width="13.28515625" style="219" customWidth="1"/>
    <col min="7437" max="7437" width="50.42578125" style="219" bestFit="1" customWidth="1"/>
    <col min="7438" max="7438" width="86" style="219" bestFit="1" customWidth="1"/>
    <col min="7439" max="7680" width="9.140625" style="219"/>
    <col min="7681" max="7681" width="10.85546875" style="219" customWidth="1"/>
    <col min="7682" max="7682" width="9.140625" style="219"/>
    <col min="7683" max="7683" width="32.5703125" style="219" customWidth="1"/>
    <col min="7684" max="7684" width="9.140625" style="219"/>
    <col min="7685" max="7685" width="3.28515625" style="219" customWidth="1"/>
    <col min="7686" max="7686" width="9.140625" style="219"/>
    <col min="7687" max="7687" width="10.140625" style="219" customWidth="1"/>
    <col min="7688" max="7688" width="9.5703125" style="219" customWidth="1"/>
    <col min="7689" max="7691" width="0" style="219" hidden="1" customWidth="1"/>
    <col min="7692" max="7692" width="13.28515625" style="219" customWidth="1"/>
    <col min="7693" max="7693" width="50.42578125" style="219" bestFit="1" customWidth="1"/>
    <col min="7694" max="7694" width="86" style="219" bestFit="1" customWidth="1"/>
    <col min="7695" max="7936" width="9.140625" style="219"/>
    <col min="7937" max="7937" width="10.85546875" style="219" customWidth="1"/>
    <col min="7938" max="7938" width="9.140625" style="219"/>
    <col min="7939" max="7939" width="32.5703125" style="219" customWidth="1"/>
    <col min="7940" max="7940" width="9.140625" style="219"/>
    <col min="7941" max="7941" width="3.28515625" style="219" customWidth="1"/>
    <col min="7942" max="7942" width="9.140625" style="219"/>
    <col min="7943" max="7943" width="10.140625" style="219" customWidth="1"/>
    <col min="7944" max="7944" width="9.5703125" style="219" customWidth="1"/>
    <col min="7945" max="7947" width="0" style="219" hidden="1" customWidth="1"/>
    <col min="7948" max="7948" width="13.28515625" style="219" customWidth="1"/>
    <col min="7949" max="7949" width="50.42578125" style="219" bestFit="1" customWidth="1"/>
    <col min="7950" max="7950" width="86" style="219" bestFit="1" customWidth="1"/>
    <col min="7951" max="8192" width="9.140625" style="219"/>
    <col min="8193" max="8193" width="10.85546875" style="219" customWidth="1"/>
    <col min="8194" max="8194" width="9.140625" style="219"/>
    <col min="8195" max="8195" width="32.5703125" style="219" customWidth="1"/>
    <col min="8196" max="8196" width="9.140625" style="219"/>
    <col min="8197" max="8197" width="3.28515625" style="219" customWidth="1"/>
    <col min="8198" max="8198" width="9.140625" style="219"/>
    <col min="8199" max="8199" width="10.140625" style="219" customWidth="1"/>
    <col min="8200" max="8200" width="9.5703125" style="219" customWidth="1"/>
    <col min="8201" max="8203" width="0" style="219" hidden="1" customWidth="1"/>
    <col min="8204" max="8204" width="13.28515625" style="219" customWidth="1"/>
    <col min="8205" max="8205" width="50.42578125" style="219" bestFit="1" customWidth="1"/>
    <col min="8206" max="8206" width="86" style="219" bestFit="1" customWidth="1"/>
    <col min="8207" max="8448" width="9.140625" style="219"/>
    <col min="8449" max="8449" width="10.85546875" style="219" customWidth="1"/>
    <col min="8450" max="8450" width="9.140625" style="219"/>
    <col min="8451" max="8451" width="32.5703125" style="219" customWidth="1"/>
    <col min="8452" max="8452" width="9.140625" style="219"/>
    <col min="8453" max="8453" width="3.28515625" style="219" customWidth="1"/>
    <col min="8454" max="8454" width="9.140625" style="219"/>
    <col min="8455" max="8455" width="10.140625" style="219" customWidth="1"/>
    <col min="8456" max="8456" width="9.5703125" style="219" customWidth="1"/>
    <col min="8457" max="8459" width="0" style="219" hidden="1" customWidth="1"/>
    <col min="8460" max="8460" width="13.28515625" style="219" customWidth="1"/>
    <col min="8461" max="8461" width="50.42578125" style="219" bestFit="1" customWidth="1"/>
    <col min="8462" max="8462" width="86" style="219" bestFit="1" customWidth="1"/>
    <col min="8463" max="8704" width="9.140625" style="219"/>
    <col min="8705" max="8705" width="10.85546875" style="219" customWidth="1"/>
    <col min="8706" max="8706" width="9.140625" style="219"/>
    <col min="8707" max="8707" width="32.5703125" style="219" customWidth="1"/>
    <col min="8708" max="8708" width="9.140625" style="219"/>
    <col min="8709" max="8709" width="3.28515625" style="219" customWidth="1"/>
    <col min="8710" max="8710" width="9.140625" style="219"/>
    <col min="8711" max="8711" width="10.140625" style="219" customWidth="1"/>
    <col min="8712" max="8712" width="9.5703125" style="219" customWidth="1"/>
    <col min="8713" max="8715" width="0" style="219" hidden="1" customWidth="1"/>
    <col min="8716" max="8716" width="13.28515625" style="219" customWidth="1"/>
    <col min="8717" max="8717" width="50.42578125" style="219" bestFit="1" customWidth="1"/>
    <col min="8718" max="8718" width="86" style="219" bestFit="1" customWidth="1"/>
    <col min="8719" max="8960" width="9.140625" style="219"/>
    <col min="8961" max="8961" width="10.85546875" style="219" customWidth="1"/>
    <col min="8962" max="8962" width="9.140625" style="219"/>
    <col min="8963" max="8963" width="32.5703125" style="219" customWidth="1"/>
    <col min="8964" max="8964" width="9.140625" style="219"/>
    <col min="8965" max="8965" width="3.28515625" style="219" customWidth="1"/>
    <col min="8966" max="8966" width="9.140625" style="219"/>
    <col min="8967" max="8967" width="10.140625" style="219" customWidth="1"/>
    <col min="8968" max="8968" width="9.5703125" style="219" customWidth="1"/>
    <col min="8969" max="8971" width="0" style="219" hidden="1" customWidth="1"/>
    <col min="8972" max="8972" width="13.28515625" style="219" customWidth="1"/>
    <col min="8973" max="8973" width="50.42578125" style="219" bestFit="1" customWidth="1"/>
    <col min="8974" max="8974" width="86" style="219" bestFit="1" customWidth="1"/>
    <col min="8975" max="9216" width="9.140625" style="219"/>
    <col min="9217" max="9217" width="10.85546875" style="219" customWidth="1"/>
    <col min="9218" max="9218" width="9.140625" style="219"/>
    <col min="9219" max="9219" width="32.5703125" style="219" customWidth="1"/>
    <col min="9220" max="9220" width="9.140625" style="219"/>
    <col min="9221" max="9221" width="3.28515625" style="219" customWidth="1"/>
    <col min="9222" max="9222" width="9.140625" style="219"/>
    <col min="9223" max="9223" width="10.140625" style="219" customWidth="1"/>
    <col min="9224" max="9224" width="9.5703125" style="219" customWidth="1"/>
    <col min="9225" max="9227" width="0" style="219" hidden="1" customWidth="1"/>
    <col min="9228" max="9228" width="13.28515625" style="219" customWidth="1"/>
    <col min="9229" max="9229" width="50.42578125" style="219" bestFit="1" customWidth="1"/>
    <col min="9230" max="9230" width="86" style="219" bestFit="1" customWidth="1"/>
    <col min="9231" max="9472" width="9.140625" style="219"/>
    <col min="9473" max="9473" width="10.85546875" style="219" customWidth="1"/>
    <col min="9474" max="9474" width="9.140625" style="219"/>
    <col min="9475" max="9475" width="32.5703125" style="219" customWidth="1"/>
    <col min="9476" max="9476" width="9.140625" style="219"/>
    <col min="9477" max="9477" width="3.28515625" style="219" customWidth="1"/>
    <col min="9478" max="9478" width="9.140625" style="219"/>
    <col min="9479" max="9479" width="10.140625" style="219" customWidth="1"/>
    <col min="9480" max="9480" width="9.5703125" style="219" customWidth="1"/>
    <col min="9481" max="9483" width="0" style="219" hidden="1" customWidth="1"/>
    <col min="9484" max="9484" width="13.28515625" style="219" customWidth="1"/>
    <col min="9485" max="9485" width="50.42578125" style="219" bestFit="1" customWidth="1"/>
    <col min="9486" max="9486" width="86" style="219" bestFit="1" customWidth="1"/>
    <col min="9487" max="9728" width="9.140625" style="219"/>
    <col min="9729" max="9729" width="10.85546875" style="219" customWidth="1"/>
    <col min="9730" max="9730" width="9.140625" style="219"/>
    <col min="9731" max="9731" width="32.5703125" style="219" customWidth="1"/>
    <col min="9732" max="9732" width="9.140625" style="219"/>
    <col min="9733" max="9733" width="3.28515625" style="219" customWidth="1"/>
    <col min="9734" max="9734" width="9.140625" style="219"/>
    <col min="9735" max="9735" width="10.140625" style="219" customWidth="1"/>
    <col min="9736" max="9736" width="9.5703125" style="219" customWidth="1"/>
    <col min="9737" max="9739" width="0" style="219" hidden="1" customWidth="1"/>
    <col min="9740" max="9740" width="13.28515625" style="219" customWidth="1"/>
    <col min="9741" max="9741" width="50.42578125" style="219" bestFit="1" customWidth="1"/>
    <col min="9742" max="9742" width="86" style="219" bestFit="1" customWidth="1"/>
    <col min="9743" max="9984" width="9.140625" style="219"/>
    <col min="9985" max="9985" width="10.85546875" style="219" customWidth="1"/>
    <col min="9986" max="9986" width="9.140625" style="219"/>
    <col min="9987" max="9987" width="32.5703125" style="219" customWidth="1"/>
    <col min="9988" max="9988" width="9.140625" style="219"/>
    <col min="9989" max="9989" width="3.28515625" style="219" customWidth="1"/>
    <col min="9990" max="9990" width="9.140625" style="219"/>
    <col min="9991" max="9991" width="10.140625" style="219" customWidth="1"/>
    <col min="9992" max="9992" width="9.5703125" style="219" customWidth="1"/>
    <col min="9993" max="9995" width="0" style="219" hidden="1" customWidth="1"/>
    <col min="9996" max="9996" width="13.28515625" style="219" customWidth="1"/>
    <col min="9997" max="9997" width="50.42578125" style="219" bestFit="1" customWidth="1"/>
    <col min="9998" max="9998" width="86" style="219" bestFit="1" customWidth="1"/>
    <col min="9999" max="10240" width="9.140625" style="219"/>
    <col min="10241" max="10241" width="10.85546875" style="219" customWidth="1"/>
    <col min="10242" max="10242" width="9.140625" style="219"/>
    <col min="10243" max="10243" width="32.5703125" style="219" customWidth="1"/>
    <col min="10244" max="10244" width="9.140625" style="219"/>
    <col min="10245" max="10245" width="3.28515625" style="219" customWidth="1"/>
    <col min="10246" max="10246" width="9.140625" style="219"/>
    <col min="10247" max="10247" width="10.140625" style="219" customWidth="1"/>
    <col min="10248" max="10248" width="9.5703125" style="219" customWidth="1"/>
    <col min="10249" max="10251" width="0" style="219" hidden="1" customWidth="1"/>
    <col min="10252" max="10252" width="13.28515625" style="219" customWidth="1"/>
    <col min="10253" max="10253" width="50.42578125" style="219" bestFit="1" customWidth="1"/>
    <col min="10254" max="10254" width="86" style="219" bestFit="1" customWidth="1"/>
    <col min="10255" max="10496" width="9.140625" style="219"/>
    <col min="10497" max="10497" width="10.85546875" style="219" customWidth="1"/>
    <col min="10498" max="10498" width="9.140625" style="219"/>
    <col min="10499" max="10499" width="32.5703125" style="219" customWidth="1"/>
    <col min="10500" max="10500" width="9.140625" style="219"/>
    <col min="10501" max="10501" width="3.28515625" style="219" customWidth="1"/>
    <col min="10502" max="10502" width="9.140625" style="219"/>
    <col min="10503" max="10503" width="10.140625" style="219" customWidth="1"/>
    <col min="10504" max="10504" width="9.5703125" style="219" customWidth="1"/>
    <col min="10505" max="10507" width="0" style="219" hidden="1" customWidth="1"/>
    <col min="10508" max="10508" width="13.28515625" style="219" customWidth="1"/>
    <col min="10509" max="10509" width="50.42578125" style="219" bestFit="1" customWidth="1"/>
    <col min="10510" max="10510" width="86" style="219" bestFit="1" customWidth="1"/>
    <col min="10511" max="10752" width="9.140625" style="219"/>
    <col min="10753" max="10753" width="10.85546875" style="219" customWidth="1"/>
    <col min="10754" max="10754" width="9.140625" style="219"/>
    <col min="10755" max="10755" width="32.5703125" style="219" customWidth="1"/>
    <col min="10756" max="10756" width="9.140625" style="219"/>
    <col min="10757" max="10757" width="3.28515625" style="219" customWidth="1"/>
    <col min="10758" max="10758" width="9.140625" style="219"/>
    <col min="10759" max="10759" width="10.140625" style="219" customWidth="1"/>
    <col min="10760" max="10760" width="9.5703125" style="219" customWidth="1"/>
    <col min="10761" max="10763" width="0" style="219" hidden="1" customWidth="1"/>
    <col min="10764" max="10764" width="13.28515625" style="219" customWidth="1"/>
    <col min="10765" max="10765" width="50.42578125" style="219" bestFit="1" customWidth="1"/>
    <col min="10766" max="10766" width="86" style="219" bestFit="1" customWidth="1"/>
    <col min="10767" max="11008" width="9.140625" style="219"/>
    <col min="11009" max="11009" width="10.85546875" style="219" customWidth="1"/>
    <col min="11010" max="11010" width="9.140625" style="219"/>
    <col min="11011" max="11011" width="32.5703125" style="219" customWidth="1"/>
    <col min="11012" max="11012" width="9.140625" style="219"/>
    <col min="11013" max="11013" width="3.28515625" style="219" customWidth="1"/>
    <col min="11014" max="11014" width="9.140625" style="219"/>
    <col min="11015" max="11015" width="10.140625" style="219" customWidth="1"/>
    <col min="11016" max="11016" width="9.5703125" style="219" customWidth="1"/>
    <col min="11017" max="11019" width="0" style="219" hidden="1" customWidth="1"/>
    <col min="11020" max="11020" width="13.28515625" style="219" customWidth="1"/>
    <col min="11021" max="11021" width="50.42578125" style="219" bestFit="1" customWidth="1"/>
    <col min="11022" max="11022" width="86" style="219" bestFit="1" customWidth="1"/>
    <col min="11023" max="11264" width="9.140625" style="219"/>
    <col min="11265" max="11265" width="10.85546875" style="219" customWidth="1"/>
    <col min="11266" max="11266" width="9.140625" style="219"/>
    <col min="11267" max="11267" width="32.5703125" style="219" customWidth="1"/>
    <col min="11268" max="11268" width="9.140625" style="219"/>
    <col min="11269" max="11269" width="3.28515625" style="219" customWidth="1"/>
    <col min="11270" max="11270" width="9.140625" style="219"/>
    <col min="11271" max="11271" width="10.140625" style="219" customWidth="1"/>
    <col min="11272" max="11272" width="9.5703125" style="219" customWidth="1"/>
    <col min="11273" max="11275" width="0" style="219" hidden="1" customWidth="1"/>
    <col min="11276" max="11276" width="13.28515625" style="219" customWidth="1"/>
    <col min="11277" max="11277" width="50.42578125" style="219" bestFit="1" customWidth="1"/>
    <col min="11278" max="11278" width="86" style="219" bestFit="1" customWidth="1"/>
    <col min="11279" max="11520" width="9.140625" style="219"/>
    <col min="11521" max="11521" width="10.85546875" style="219" customWidth="1"/>
    <col min="11522" max="11522" width="9.140625" style="219"/>
    <col min="11523" max="11523" width="32.5703125" style="219" customWidth="1"/>
    <col min="11524" max="11524" width="9.140625" style="219"/>
    <col min="11525" max="11525" width="3.28515625" style="219" customWidth="1"/>
    <col min="11526" max="11526" width="9.140625" style="219"/>
    <col min="11527" max="11527" width="10.140625" style="219" customWidth="1"/>
    <col min="11528" max="11528" width="9.5703125" style="219" customWidth="1"/>
    <col min="11529" max="11531" width="0" style="219" hidden="1" customWidth="1"/>
    <col min="11532" max="11532" width="13.28515625" style="219" customWidth="1"/>
    <col min="11533" max="11533" width="50.42578125" style="219" bestFit="1" customWidth="1"/>
    <col min="11534" max="11534" width="86" style="219" bestFit="1" customWidth="1"/>
    <col min="11535" max="11776" width="9.140625" style="219"/>
    <col min="11777" max="11777" width="10.85546875" style="219" customWidth="1"/>
    <col min="11778" max="11778" width="9.140625" style="219"/>
    <col min="11779" max="11779" width="32.5703125" style="219" customWidth="1"/>
    <col min="11780" max="11780" width="9.140625" style="219"/>
    <col min="11781" max="11781" width="3.28515625" style="219" customWidth="1"/>
    <col min="11782" max="11782" width="9.140625" style="219"/>
    <col min="11783" max="11783" width="10.140625" style="219" customWidth="1"/>
    <col min="11784" max="11784" width="9.5703125" style="219" customWidth="1"/>
    <col min="11785" max="11787" width="0" style="219" hidden="1" customWidth="1"/>
    <col min="11788" max="11788" width="13.28515625" style="219" customWidth="1"/>
    <col min="11789" max="11789" width="50.42578125" style="219" bestFit="1" customWidth="1"/>
    <col min="11790" max="11790" width="86" style="219" bestFit="1" customWidth="1"/>
    <col min="11791" max="12032" width="9.140625" style="219"/>
    <col min="12033" max="12033" width="10.85546875" style="219" customWidth="1"/>
    <col min="12034" max="12034" width="9.140625" style="219"/>
    <col min="12035" max="12035" width="32.5703125" style="219" customWidth="1"/>
    <col min="12036" max="12036" width="9.140625" style="219"/>
    <col min="12037" max="12037" width="3.28515625" style="219" customWidth="1"/>
    <col min="12038" max="12038" width="9.140625" style="219"/>
    <col min="12039" max="12039" width="10.140625" style="219" customWidth="1"/>
    <col min="12040" max="12040" width="9.5703125" style="219" customWidth="1"/>
    <col min="12041" max="12043" width="0" style="219" hidden="1" customWidth="1"/>
    <col min="12044" max="12044" width="13.28515625" style="219" customWidth="1"/>
    <col min="12045" max="12045" width="50.42578125" style="219" bestFit="1" customWidth="1"/>
    <col min="12046" max="12046" width="86" style="219" bestFit="1" customWidth="1"/>
    <col min="12047" max="12288" width="9.140625" style="219"/>
    <col min="12289" max="12289" width="10.85546875" style="219" customWidth="1"/>
    <col min="12290" max="12290" width="9.140625" style="219"/>
    <col min="12291" max="12291" width="32.5703125" style="219" customWidth="1"/>
    <col min="12292" max="12292" width="9.140625" style="219"/>
    <col min="12293" max="12293" width="3.28515625" style="219" customWidth="1"/>
    <col min="12294" max="12294" width="9.140625" style="219"/>
    <col min="12295" max="12295" width="10.140625" style="219" customWidth="1"/>
    <col min="12296" max="12296" width="9.5703125" style="219" customWidth="1"/>
    <col min="12297" max="12299" width="0" style="219" hidden="1" customWidth="1"/>
    <col min="12300" max="12300" width="13.28515625" style="219" customWidth="1"/>
    <col min="12301" max="12301" width="50.42578125" style="219" bestFit="1" customWidth="1"/>
    <col min="12302" max="12302" width="86" style="219" bestFit="1" customWidth="1"/>
    <col min="12303" max="12544" width="9.140625" style="219"/>
    <col min="12545" max="12545" width="10.85546875" style="219" customWidth="1"/>
    <col min="12546" max="12546" width="9.140625" style="219"/>
    <col min="12547" max="12547" width="32.5703125" style="219" customWidth="1"/>
    <col min="12548" max="12548" width="9.140625" style="219"/>
    <col min="12549" max="12549" width="3.28515625" style="219" customWidth="1"/>
    <col min="12550" max="12550" width="9.140625" style="219"/>
    <col min="12551" max="12551" width="10.140625" style="219" customWidth="1"/>
    <col min="12552" max="12552" width="9.5703125" style="219" customWidth="1"/>
    <col min="12553" max="12555" width="0" style="219" hidden="1" customWidth="1"/>
    <col min="12556" max="12556" width="13.28515625" style="219" customWidth="1"/>
    <col min="12557" max="12557" width="50.42578125" style="219" bestFit="1" customWidth="1"/>
    <col min="12558" max="12558" width="86" style="219" bestFit="1" customWidth="1"/>
    <col min="12559" max="12800" width="9.140625" style="219"/>
    <col min="12801" max="12801" width="10.85546875" style="219" customWidth="1"/>
    <col min="12802" max="12802" width="9.140625" style="219"/>
    <col min="12803" max="12803" width="32.5703125" style="219" customWidth="1"/>
    <col min="12804" max="12804" width="9.140625" style="219"/>
    <col min="12805" max="12805" width="3.28515625" style="219" customWidth="1"/>
    <col min="12806" max="12806" width="9.140625" style="219"/>
    <col min="12807" max="12807" width="10.140625" style="219" customWidth="1"/>
    <col min="12808" max="12808" width="9.5703125" style="219" customWidth="1"/>
    <col min="12809" max="12811" width="0" style="219" hidden="1" customWidth="1"/>
    <col min="12812" max="12812" width="13.28515625" style="219" customWidth="1"/>
    <col min="12813" max="12813" width="50.42578125" style="219" bestFit="1" customWidth="1"/>
    <col min="12814" max="12814" width="86" style="219" bestFit="1" customWidth="1"/>
    <col min="12815" max="13056" width="9.140625" style="219"/>
    <col min="13057" max="13057" width="10.85546875" style="219" customWidth="1"/>
    <col min="13058" max="13058" width="9.140625" style="219"/>
    <col min="13059" max="13059" width="32.5703125" style="219" customWidth="1"/>
    <col min="13060" max="13060" width="9.140625" style="219"/>
    <col min="13061" max="13061" width="3.28515625" style="219" customWidth="1"/>
    <col min="13062" max="13062" width="9.140625" style="219"/>
    <col min="13063" max="13063" width="10.140625" style="219" customWidth="1"/>
    <col min="13064" max="13064" width="9.5703125" style="219" customWidth="1"/>
    <col min="13065" max="13067" width="0" style="219" hidden="1" customWidth="1"/>
    <col min="13068" max="13068" width="13.28515625" style="219" customWidth="1"/>
    <col min="13069" max="13069" width="50.42578125" style="219" bestFit="1" customWidth="1"/>
    <col min="13070" max="13070" width="86" style="219" bestFit="1" customWidth="1"/>
    <col min="13071" max="13312" width="9.140625" style="219"/>
    <col min="13313" max="13313" width="10.85546875" style="219" customWidth="1"/>
    <col min="13314" max="13314" width="9.140625" style="219"/>
    <col min="13315" max="13315" width="32.5703125" style="219" customWidth="1"/>
    <col min="13316" max="13316" width="9.140625" style="219"/>
    <col min="13317" max="13317" width="3.28515625" style="219" customWidth="1"/>
    <col min="13318" max="13318" width="9.140625" style="219"/>
    <col min="13319" max="13319" width="10.140625" style="219" customWidth="1"/>
    <col min="13320" max="13320" width="9.5703125" style="219" customWidth="1"/>
    <col min="13321" max="13323" width="0" style="219" hidden="1" customWidth="1"/>
    <col min="13324" max="13324" width="13.28515625" style="219" customWidth="1"/>
    <col min="13325" max="13325" width="50.42578125" style="219" bestFit="1" customWidth="1"/>
    <col min="13326" max="13326" width="86" style="219" bestFit="1" customWidth="1"/>
    <col min="13327" max="13568" width="9.140625" style="219"/>
    <col min="13569" max="13569" width="10.85546875" style="219" customWidth="1"/>
    <col min="13570" max="13570" width="9.140625" style="219"/>
    <col min="13571" max="13571" width="32.5703125" style="219" customWidth="1"/>
    <col min="13572" max="13572" width="9.140625" style="219"/>
    <col min="13573" max="13573" width="3.28515625" style="219" customWidth="1"/>
    <col min="13574" max="13574" width="9.140625" style="219"/>
    <col min="13575" max="13575" width="10.140625" style="219" customWidth="1"/>
    <col min="13576" max="13576" width="9.5703125" style="219" customWidth="1"/>
    <col min="13577" max="13579" width="0" style="219" hidden="1" customWidth="1"/>
    <col min="13580" max="13580" width="13.28515625" style="219" customWidth="1"/>
    <col min="13581" max="13581" width="50.42578125" style="219" bestFit="1" customWidth="1"/>
    <col min="13582" max="13582" width="86" style="219" bestFit="1" customWidth="1"/>
    <col min="13583" max="13824" width="9.140625" style="219"/>
    <col min="13825" max="13825" width="10.85546875" style="219" customWidth="1"/>
    <col min="13826" max="13826" width="9.140625" style="219"/>
    <col min="13827" max="13827" width="32.5703125" style="219" customWidth="1"/>
    <col min="13828" max="13828" width="9.140625" style="219"/>
    <col min="13829" max="13829" width="3.28515625" style="219" customWidth="1"/>
    <col min="13830" max="13830" width="9.140625" style="219"/>
    <col min="13831" max="13831" width="10.140625" style="219" customWidth="1"/>
    <col min="13832" max="13832" width="9.5703125" style="219" customWidth="1"/>
    <col min="13833" max="13835" width="0" style="219" hidden="1" customWidth="1"/>
    <col min="13836" max="13836" width="13.28515625" style="219" customWidth="1"/>
    <col min="13837" max="13837" width="50.42578125" style="219" bestFit="1" customWidth="1"/>
    <col min="13838" max="13838" width="86" style="219" bestFit="1" customWidth="1"/>
    <col min="13839" max="14080" width="9.140625" style="219"/>
    <col min="14081" max="14081" width="10.85546875" style="219" customWidth="1"/>
    <col min="14082" max="14082" width="9.140625" style="219"/>
    <col min="14083" max="14083" width="32.5703125" style="219" customWidth="1"/>
    <col min="14084" max="14084" width="9.140625" style="219"/>
    <col min="14085" max="14085" width="3.28515625" style="219" customWidth="1"/>
    <col min="14086" max="14086" width="9.140625" style="219"/>
    <col min="14087" max="14087" width="10.140625" style="219" customWidth="1"/>
    <col min="14088" max="14088" width="9.5703125" style="219" customWidth="1"/>
    <col min="14089" max="14091" width="0" style="219" hidden="1" customWidth="1"/>
    <col min="14092" max="14092" width="13.28515625" style="219" customWidth="1"/>
    <col min="14093" max="14093" width="50.42578125" style="219" bestFit="1" customWidth="1"/>
    <col min="14094" max="14094" width="86" style="219" bestFit="1" customWidth="1"/>
    <col min="14095" max="14336" width="9.140625" style="219"/>
    <col min="14337" max="14337" width="10.85546875" style="219" customWidth="1"/>
    <col min="14338" max="14338" width="9.140625" style="219"/>
    <col min="14339" max="14339" width="32.5703125" style="219" customWidth="1"/>
    <col min="14340" max="14340" width="9.140625" style="219"/>
    <col min="14341" max="14341" width="3.28515625" style="219" customWidth="1"/>
    <col min="14342" max="14342" width="9.140625" style="219"/>
    <col min="14343" max="14343" width="10.140625" style="219" customWidth="1"/>
    <col min="14344" max="14344" width="9.5703125" style="219" customWidth="1"/>
    <col min="14345" max="14347" width="0" style="219" hidden="1" customWidth="1"/>
    <col min="14348" max="14348" width="13.28515625" style="219" customWidth="1"/>
    <col min="14349" max="14349" width="50.42578125" style="219" bestFit="1" customWidth="1"/>
    <col min="14350" max="14350" width="86" style="219" bestFit="1" customWidth="1"/>
    <col min="14351" max="14592" width="9.140625" style="219"/>
    <col min="14593" max="14593" width="10.85546875" style="219" customWidth="1"/>
    <col min="14594" max="14594" width="9.140625" style="219"/>
    <col min="14595" max="14595" width="32.5703125" style="219" customWidth="1"/>
    <col min="14596" max="14596" width="9.140625" style="219"/>
    <col min="14597" max="14597" width="3.28515625" style="219" customWidth="1"/>
    <col min="14598" max="14598" width="9.140625" style="219"/>
    <col min="14599" max="14599" width="10.140625" style="219" customWidth="1"/>
    <col min="14600" max="14600" width="9.5703125" style="219" customWidth="1"/>
    <col min="14601" max="14603" width="0" style="219" hidden="1" customWidth="1"/>
    <col min="14604" max="14604" width="13.28515625" style="219" customWidth="1"/>
    <col min="14605" max="14605" width="50.42578125" style="219" bestFit="1" customWidth="1"/>
    <col min="14606" max="14606" width="86" style="219" bestFit="1" customWidth="1"/>
    <col min="14607" max="14848" width="9.140625" style="219"/>
    <col min="14849" max="14849" width="10.85546875" style="219" customWidth="1"/>
    <col min="14850" max="14850" width="9.140625" style="219"/>
    <col min="14851" max="14851" width="32.5703125" style="219" customWidth="1"/>
    <col min="14852" max="14852" width="9.140625" style="219"/>
    <col min="14853" max="14853" width="3.28515625" style="219" customWidth="1"/>
    <col min="14854" max="14854" width="9.140625" style="219"/>
    <col min="14855" max="14855" width="10.140625" style="219" customWidth="1"/>
    <col min="14856" max="14856" width="9.5703125" style="219" customWidth="1"/>
    <col min="14857" max="14859" width="0" style="219" hidden="1" customWidth="1"/>
    <col min="14860" max="14860" width="13.28515625" style="219" customWidth="1"/>
    <col min="14861" max="14861" width="50.42578125" style="219" bestFit="1" customWidth="1"/>
    <col min="14862" max="14862" width="86" style="219" bestFit="1" customWidth="1"/>
    <col min="14863" max="15104" width="9.140625" style="219"/>
    <col min="15105" max="15105" width="10.85546875" style="219" customWidth="1"/>
    <col min="15106" max="15106" width="9.140625" style="219"/>
    <col min="15107" max="15107" width="32.5703125" style="219" customWidth="1"/>
    <col min="15108" max="15108" width="9.140625" style="219"/>
    <col min="15109" max="15109" width="3.28515625" style="219" customWidth="1"/>
    <col min="15110" max="15110" width="9.140625" style="219"/>
    <col min="15111" max="15111" width="10.140625" style="219" customWidth="1"/>
    <col min="15112" max="15112" width="9.5703125" style="219" customWidth="1"/>
    <col min="15113" max="15115" width="0" style="219" hidden="1" customWidth="1"/>
    <col min="15116" max="15116" width="13.28515625" style="219" customWidth="1"/>
    <col min="15117" max="15117" width="50.42578125" style="219" bestFit="1" customWidth="1"/>
    <col min="15118" max="15118" width="86" style="219" bestFit="1" customWidth="1"/>
    <col min="15119" max="15360" width="9.140625" style="219"/>
    <col min="15361" max="15361" width="10.85546875" style="219" customWidth="1"/>
    <col min="15362" max="15362" width="9.140625" style="219"/>
    <col min="15363" max="15363" width="32.5703125" style="219" customWidth="1"/>
    <col min="15364" max="15364" width="9.140625" style="219"/>
    <col min="15365" max="15365" width="3.28515625" style="219" customWidth="1"/>
    <col min="15366" max="15366" width="9.140625" style="219"/>
    <col min="15367" max="15367" width="10.140625" style="219" customWidth="1"/>
    <col min="15368" max="15368" width="9.5703125" style="219" customWidth="1"/>
    <col min="15369" max="15371" width="0" style="219" hidden="1" customWidth="1"/>
    <col min="15372" max="15372" width="13.28515625" style="219" customWidth="1"/>
    <col min="15373" max="15373" width="50.42578125" style="219" bestFit="1" customWidth="1"/>
    <col min="15374" max="15374" width="86" style="219" bestFit="1" customWidth="1"/>
    <col min="15375" max="15616" width="9.140625" style="219"/>
    <col min="15617" max="15617" width="10.85546875" style="219" customWidth="1"/>
    <col min="15618" max="15618" width="9.140625" style="219"/>
    <col min="15619" max="15619" width="32.5703125" style="219" customWidth="1"/>
    <col min="15620" max="15620" width="9.140625" style="219"/>
    <col min="15621" max="15621" width="3.28515625" style="219" customWidth="1"/>
    <col min="15622" max="15622" width="9.140625" style="219"/>
    <col min="15623" max="15623" width="10.140625" style="219" customWidth="1"/>
    <col min="15624" max="15624" width="9.5703125" style="219" customWidth="1"/>
    <col min="15625" max="15627" width="0" style="219" hidden="1" customWidth="1"/>
    <col min="15628" max="15628" width="13.28515625" style="219" customWidth="1"/>
    <col min="15629" max="15629" width="50.42578125" style="219" bestFit="1" customWidth="1"/>
    <col min="15630" max="15630" width="86" style="219" bestFit="1" customWidth="1"/>
    <col min="15631" max="15872" width="9.140625" style="219"/>
    <col min="15873" max="15873" width="10.85546875" style="219" customWidth="1"/>
    <col min="15874" max="15874" width="9.140625" style="219"/>
    <col min="15875" max="15875" width="32.5703125" style="219" customWidth="1"/>
    <col min="15876" max="15876" width="9.140625" style="219"/>
    <col min="15877" max="15877" width="3.28515625" style="219" customWidth="1"/>
    <col min="15878" max="15878" width="9.140625" style="219"/>
    <col min="15879" max="15879" width="10.140625" style="219" customWidth="1"/>
    <col min="15880" max="15880" width="9.5703125" style="219" customWidth="1"/>
    <col min="15881" max="15883" width="0" style="219" hidden="1" customWidth="1"/>
    <col min="15884" max="15884" width="13.28515625" style="219" customWidth="1"/>
    <col min="15885" max="15885" width="50.42578125" style="219" bestFit="1" customWidth="1"/>
    <col min="15886" max="15886" width="86" style="219" bestFit="1" customWidth="1"/>
    <col min="15887" max="16128" width="9.140625" style="219"/>
    <col min="16129" max="16129" width="10.85546875" style="219" customWidth="1"/>
    <col min="16130" max="16130" width="9.140625" style="219"/>
    <col min="16131" max="16131" width="32.5703125" style="219" customWidth="1"/>
    <col min="16132" max="16132" width="9.140625" style="219"/>
    <col min="16133" max="16133" width="3.28515625" style="219" customWidth="1"/>
    <col min="16134" max="16134" width="9.140625" style="219"/>
    <col min="16135" max="16135" width="10.140625" style="219" customWidth="1"/>
    <col min="16136" max="16136" width="9.5703125" style="219" customWidth="1"/>
    <col min="16137" max="16139" width="0" style="219" hidden="1" customWidth="1"/>
    <col min="16140" max="16140" width="13.28515625" style="219" customWidth="1"/>
    <col min="16141" max="16141" width="50.42578125" style="219" bestFit="1" customWidth="1"/>
    <col min="16142" max="16142" width="86" style="219" bestFit="1" customWidth="1"/>
    <col min="16143" max="16384" width="9.140625" style="219"/>
  </cols>
  <sheetData>
    <row r="1" spans="1:14" ht="18" x14ac:dyDescent="0.2">
      <c r="A1" s="382" t="s">
        <v>182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239"/>
    </row>
    <row r="2" spans="1:14" ht="15.75" x14ac:dyDescent="0.2">
      <c r="A2" s="241" t="s">
        <v>181</v>
      </c>
      <c r="B2" s="232"/>
      <c r="C2" s="242"/>
      <c r="D2" s="232"/>
      <c r="E2" s="232"/>
      <c r="F2" s="232"/>
      <c r="G2" s="232"/>
      <c r="H2" s="232"/>
      <c r="I2" s="232"/>
      <c r="J2" s="232"/>
      <c r="K2" s="232"/>
      <c r="L2" s="239"/>
    </row>
    <row r="3" spans="1:14" ht="15.75" x14ac:dyDescent="0.2">
      <c r="A3" s="241" t="s">
        <v>180</v>
      </c>
      <c r="C3" s="240"/>
      <c r="L3" s="239"/>
    </row>
    <row r="4" spans="1:14" x14ac:dyDescent="0.2">
      <c r="A4" s="238" t="s">
        <v>179</v>
      </c>
    </row>
    <row r="5" spans="1:14" x14ac:dyDescent="0.2">
      <c r="A5" s="385" t="s">
        <v>178</v>
      </c>
      <c r="B5" s="386"/>
      <c r="C5" s="386"/>
      <c r="D5" s="386"/>
      <c r="E5" s="386"/>
      <c r="F5" s="386"/>
      <c r="G5" s="386"/>
      <c r="H5" s="386"/>
    </row>
    <row r="6" spans="1:14" x14ac:dyDescent="0.2">
      <c r="A6" s="237"/>
    </row>
    <row r="7" spans="1:14" ht="15" x14ac:dyDescent="0.25">
      <c r="A7" s="237"/>
      <c r="D7" s="223"/>
      <c r="F7" s="223"/>
      <c r="N7" s="233"/>
    </row>
    <row r="8" spans="1:14" ht="44.25" x14ac:dyDescent="0.25">
      <c r="D8" s="234" t="s">
        <v>73</v>
      </c>
      <c r="E8" s="233"/>
      <c r="F8" s="234" t="s">
        <v>214</v>
      </c>
      <c r="G8" s="234" t="s">
        <v>177</v>
      </c>
      <c r="H8" s="234" t="s">
        <v>177</v>
      </c>
      <c r="I8" s="234"/>
      <c r="J8" s="234"/>
      <c r="K8" s="234"/>
      <c r="L8" s="236" t="s">
        <v>176</v>
      </c>
      <c r="M8" s="226" t="s">
        <v>175</v>
      </c>
      <c r="N8" s="235" t="s">
        <v>174</v>
      </c>
    </row>
    <row r="9" spans="1:14" ht="15" x14ac:dyDescent="0.25">
      <c r="D9" s="234" t="s">
        <v>29</v>
      </c>
      <c r="E9" s="233"/>
      <c r="F9" s="234" t="s">
        <v>29</v>
      </c>
      <c r="G9" s="234" t="s">
        <v>29</v>
      </c>
      <c r="H9" s="234" t="s">
        <v>173</v>
      </c>
      <c r="I9" s="234"/>
      <c r="J9" s="234"/>
      <c r="K9" s="233"/>
      <c r="L9" s="233"/>
      <c r="N9" s="220"/>
    </row>
    <row r="10" spans="1:14" ht="15" thickBot="1" x14ac:dyDescent="0.25">
      <c r="D10" s="223"/>
      <c r="E10" s="223"/>
      <c r="N10" s="220"/>
    </row>
    <row r="11" spans="1:14" ht="43.5" thickBot="1" x14ac:dyDescent="0.25">
      <c r="A11" s="383" t="s">
        <v>172</v>
      </c>
      <c r="B11" s="383"/>
      <c r="C11" s="383"/>
      <c r="D11" s="228">
        <v>4878</v>
      </c>
      <c r="F11" s="228">
        <v>5184</v>
      </c>
      <c r="G11" s="227"/>
      <c r="M11" s="226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225"/>
    </row>
    <row r="12" spans="1:14" ht="15" thickBot="1" x14ac:dyDescent="0.25">
      <c r="D12" s="227"/>
      <c r="F12" s="227"/>
      <c r="N12" s="220"/>
    </row>
    <row r="13" spans="1:14" ht="29.25" thickBot="1" x14ac:dyDescent="0.25">
      <c r="A13" s="387" t="s">
        <v>171</v>
      </c>
      <c r="B13" s="388"/>
      <c r="C13" s="389"/>
      <c r="D13" s="228">
        <v>5400</v>
      </c>
      <c r="F13" s="228" t="e">
        <f>SUM('Bank Account'!#REF!)</f>
        <v>#REF!</v>
      </c>
      <c r="G13" s="227" t="e">
        <f>F13-D13</f>
        <v>#REF!</v>
      </c>
      <c r="H13" s="224" t="e">
        <f>IF((D13&gt;F13),(D13-F13)/D13,IF(D13&lt;F13,-(D13-F13)/D13,IF(D13=F13,0)))</f>
        <v>#REF!</v>
      </c>
      <c r="I13" s="219" t="e">
        <f>IF(D13-F13&lt;200,0,IF(D13-F13&gt;200,1,IF(D13-F13=200,1)))</f>
        <v>#REF!</v>
      </c>
      <c r="J13" s="219" t="e">
        <f>IF(F13-D13&lt;200,0,IF(F13-D13&gt;200,1,IF(F13-D13=200,1)))</f>
        <v>#REF!</v>
      </c>
      <c r="K13" s="223" t="e">
        <f>IF(H13&lt;0.15,0,IF(H13&gt;0.15,1,IF(H13=0.15,1)))</f>
        <v>#REF!</v>
      </c>
      <c r="L13" s="223" t="e">
        <f>IF((H13&lt;15%)*AND(G13&lt;100000)*OR(G13&gt;-100000), "NO","YES")</f>
        <v>#REF!</v>
      </c>
      <c r="M13" s="226" t="e">
        <f>IF((L13="YES")*AND(I13+J13&lt;1),"Explanation not required, difference less than £200"," ")</f>
        <v>#REF!</v>
      </c>
      <c r="N13" s="225" t="s">
        <v>453</v>
      </c>
    </row>
    <row r="14" spans="1:14" ht="15" thickBot="1" x14ac:dyDescent="0.25">
      <c r="D14" s="227"/>
      <c r="F14" s="227"/>
      <c r="G14" s="227"/>
      <c r="H14" s="224"/>
      <c r="K14" s="223"/>
      <c r="L14" s="223"/>
      <c r="N14" s="220"/>
    </row>
    <row r="15" spans="1:14" ht="100.5" thickBot="1" x14ac:dyDescent="0.25">
      <c r="A15" s="384" t="s">
        <v>170</v>
      </c>
      <c r="B15" s="384"/>
      <c r="C15" s="384"/>
      <c r="D15" s="228">
        <v>10909</v>
      </c>
      <c r="F15" s="228" t="e">
        <f>SUM('Bank Account'!#REF!+Reserves!#REF!)</f>
        <v>#REF!</v>
      </c>
      <c r="G15" s="227" t="e">
        <f>F15-D15</f>
        <v>#REF!</v>
      </c>
      <c r="H15" s="224" t="e">
        <f>IF((D15&gt;F15),(D15-F15)/D15,IF(D15&lt;F15,-(D15-F15)/D15,IF(D15=F15,0)))</f>
        <v>#REF!</v>
      </c>
      <c r="I15" s="219" t="e">
        <f>IF(D15-F15&lt;200,0,IF(D15-F15&gt;200,1,IF(D15-F15=200,1)))</f>
        <v>#REF!</v>
      </c>
      <c r="J15" s="219" t="e">
        <f>IF(F15-D15&lt;200,0,IF(F15-D15&gt;200,1,IF(F15-D15=200,1)))</f>
        <v>#REF!</v>
      </c>
      <c r="K15" s="223" t="e">
        <f>IF(H15&lt;0.15,0,IF(H15&gt;0.15,1,IF(H15=0.15,1)))</f>
        <v>#REF!</v>
      </c>
      <c r="L15" s="223" t="e">
        <f>IF((H15&lt;15%)*AND(G15&lt;100000)*OR(G15&gt;-100000), "NO","YES")</f>
        <v>#REF!</v>
      </c>
      <c r="M15" s="226" t="e">
        <f>IF((L15="YES")*AND(I15+J15&lt;1),"Explanation not required, difference less than £200"," ")</f>
        <v>#REF!</v>
      </c>
      <c r="N15" s="225" t="s">
        <v>454</v>
      </c>
    </row>
    <row r="16" spans="1:14" ht="15" thickBot="1" x14ac:dyDescent="0.25">
      <c r="D16" s="227"/>
      <c r="F16" s="227"/>
      <c r="G16" s="227"/>
      <c r="H16" s="224"/>
      <c r="K16" s="223"/>
      <c r="L16" s="223"/>
      <c r="N16" s="220"/>
    </row>
    <row r="17" spans="1:22" ht="15" thickBot="1" x14ac:dyDescent="0.25">
      <c r="A17" s="384" t="s">
        <v>169</v>
      </c>
      <c r="B17" s="384"/>
      <c r="C17" s="384"/>
      <c r="D17" s="228">
        <v>3391</v>
      </c>
      <c r="F17" s="228" t="e">
        <f>SUM('Bank Account'!#REF!)</f>
        <v>#REF!</v>
      </c>
      <c r="G17" s="227" t="e">
        <f>F17-D17</f>
        <v>#REF!</v>
      </c>
      <c r="H17" s="224" t="e">
        <f>IF((D17&gt;F17),(D17-F17)/D17,IF(D17&lt;F17,-(D17-F17)/D17,IF(D17=F17,0)))</f>
        <v>#REF!</v>
      </c>
      <c r="I17" s="219" t="e">
        <f>IF(D17-F17&lt;200,0,IF(D17-F17&gt;200,1,IF(D17-F17=200,1)))</f>
        <v>#REF!</v>
      </c>
      <c r="J17" s="219" t="e">
        <f>IF(F17-D17&lt;200,0,IF(F17-D17&gt;200,1,IF(F17-D17=200,1)))</f>
        <v>#REF!</v>
      </c>
      <c r="K17" s="223" t="e">
        <f>IF(H17&lt;0.15,0,IF(H17&gt;0.15,1,IF(H17=0.15,1)))</f>
        <v>#REF!</v>
      </c>
      <c r="L17" s="223" t="e">
        <f>IF((H17&lt;15%)*AND(G17&lt;100000)*OR(G17&gt;-100000), "NO","YES")</f>
        <v>#REF!</v>
      </c>
      <c r="M17" s="226" t="e">
        <f>IF((L17="YES")*AND(I17+J17&lt;1),"Explanation not required, difference less than £200"," ")</f>
        <v>#REF!</v>
      </c>
      <c r="N17" s="225"/>
    </row>
    <row r="18" spans="1:22" ht="15" thickBot="1" x14ac:dyDescent="0.25">
      <c r="D18" s="227"/>
      <c r="F18" s="227"/>
      <c r="G18" s="227"/>
      <c r="H18" s="224"/>
      <c r="K18" s="223"/>
      <c r="L18" s="223"/>
      <c r="N18" s="220"/>
    </row>
    <row r="19" spans="1:22" ht="15" thickBot="1" x14ac:dyDescent="0.25">
      <c r="A19" s="384" t="s">
        <v>168</v>
      </c>
      <c r="B19" s="384"/>
      <c r="C19" s="384"/>
      <c r="D19" s="228">
        <v>0</v>
      </c>
      <c r="F19" s="228">
        <v>0</v>
      </c>
      <c r="G19" s="227">
        <f>F19-D19</f>
        <v>0</v>
      </c>
      <c r="H19" s="224">
        <f>IF((D19&gt;F19),(D19-F19)/D19,IF(D19&lt;F19,-(D19-F19)/D19,IF(D19=F19,0)))</f>
        <v>0</v>
      </c>
      <c r="I19" s="219">
        <f>IF(D19-F19&lt;200,0,IF(D19-F19&gt;200,1,IF(D19-F19=200,1)))</f>
        <v>0</v>
      </c>
      <c r="J19" s="219">
        <f>IF(F19-D19&lt;200,0,IF(F19-D19&gt;200,1,IF(F19-D19=200,1)))</f>
        <v>0</v>
      </c>
      <c r="K19" s="223">
        <f>IF(H19&lt;0.15,0,IF(H19&gt;0.15,1,IF(H19=0.15,1)))</f>
        <v>0</v>
      </c>
      <c r="L19" s="223" t="str">
        <f>IF((H19&lt;15%)*AND(G19&lt;100000)*OR(G19&gt;-100000), "NO","YES")</f>
        <v>NO</v>
      </c>
      <c r="M19" s="226" t="str">
        <f>IF((L19="YES")*AND(I19+J19&lt;1),"Explanation not required, difference less than £200"," ")</f>
        <v xml:space="preserve"> </v>
      </c>
      <c r="N19" s="225"/>
    </row>
    <row r="20" spans="1:22" ht="15" thickBot="1" x14ac:dyDescent="0.25">
      <c r="D20" s="227"/>
      <c r="F20" s="227"/>
      <c r="G20" s="227"/>
      <c r="H20" s="224"/>
      <c r="K20" s="223"/>
      <c r="L20" s="223"/>
      <c r="N20" s="220"/>
    </row>
    <row r="21" spans="1:22" ht="86.25" thickBot="1" x14ac:dyDescent="0.25">
      <c r="A21" s="384" t="s">
        <v>167</v>
      </c>
      <c r="B21" s="384"/>
      <c r="C21" s="384"/>
      <c r="D21" s="228">
        <v>12611</v>
      </c>
      <c r="F21" s="228" t="e">
        <f>SUM('Bank Account'!#REF!)-('Bank Account'!G99)+'Bank Account'!I95</f>
        <v>#REF!</v>
      </c>
      <c r="G21" s="227" t="e">
        <f>F21-D21</f>
        <v>#REF!</v>
      </c>
      <c r="H21" s="224" t="e">
        <f>IF((D21&gt;F21),(D21-F21)/D21,IF(D21&lt;F21,-(D21-F21)/D21,IF(D21=F21,0)))</f>
        <v>#REF!</v>
      </c>
      <c r="I21" s="219" t="e">
        <f>IF(D21-F21&lt;200,0,IF(D21-F21&gt;200,1,IF(D21-F21=200,1)))</f>
        <v>#REF!</v>
      </c>
      <c r="J21" s="219" t="e">
        <f>IF(F21-D21&lt;200,0,IF(F21-D21&gt;200,1,IF(F21-D21=200,1)))</f>
        <v>#REF!</v>
      </c>
      <c r="K21" s="223" t="e">
        <f>IF(H21&lt;0.15,0,IF(H21&gt;0.15,1,IF(H21=0.15,1)))</f>
        <v>#REF!</v>
      </c>
      <c r="L21" s="223" t="e">
        <f>IF((H21&lt;15%)*AND(G21&lt;100000)*OR(G21&gt;-100000), "NO","YES")</f>
        <v>#REF!</v>
      </c>
      <c r="M21" s="226" t="e">
        <f>IF((L21="YES")*AND(I21+J21&lt;1),"Explanation not required, difference less than £200"," ")</f>
        <v>#REF!</v>
      </c>
      <c r="N21" s="225" t="s">
        <v>455</v>
      </c>
    </row>
    <row r="22" spans="1:22" ht="15" thickBot="1" x14ac:dyDescent="0.25">
      <c r="D22" s="227"/>
      <c r="F22" s="227"/>
      <c r="G22" s="227"/>
      <c r="H22" s="224"/>
      <c r="K22" s="223"/>
      <c r="L22" s="223"/>
      <c r="N22" s="220"/>
    </row>
    <row r="23" spans="1:22" ht="15" thickBot="1" x14ac:dyDescent="0.25">
      <c r="A23" s="229" t="s">
        <v>166</v>
      </c>
      <c r="D23" s="231">
        <f>D11+D13+D15-D17-D19-D21</f>
        <v>5185</v>
      </c>
      <c r="F23" s="231" t="e">
        <f>F11+F13+F15-F17-F19-F21</f>
        <v>#REF!</v>
      </c>
      <c r="G23" s="227"/>
      <c r="H23" s="224"/>
      <c r="K23" s="223"/>
      <c r="L23" s="223"/>
      <c r="M23" s="230" t="s">
        <v>164</v>
      </c>
      <c r="N23" s="220"/>
    </row>
    <row r="24" spans="1:22" ht="15" thickBot="1" x14ac:dyDescent="0.25">
      <c r="D24" s="227"/>
      <c r="F24" s="227"/>
      <c r="G24" s="227"/>
      <c r="H24" s="224"/>
      <c r="K24" s="223"/>
      <c r="L24" s="223"/>
      <c r="N24" s="220"/>
    </row>
    <row r="25" spans="1:22" ht="15" thickBot="1" x14ac:dyDescent="0.25">
      <c r="A25" s="384" t="s">
        <v>165</v>
      </c>
      <c r="B25" s="384"/>
      <c r="C25" s="384"/>
      <c r="D25" s="228">
        <v>5184</v>
      </c>
      <c r="F25" s="228">
        <f>SUM('Bank Recon'!D31)</f>
        <v>-3008.8999999999996</v>
      </c>
      <c r="G25" s="227"/>
      <c r="H25" s="224"/>
      <c r="K25" s="223"/>
      <c r="L25" s="223"/>
      <c r="M25" s="230" t="s">
        <v>164</v>
      </c>
      <c r="N25" s="220"/>
    </row>
    <row r="26" spans="1:22" ht="15" thickBot="1" x14ac:dyDescent="0.25">
      <c r="D26" s="227"/>
      <c r="F26" s="227"/>
      <c r="G26" s="227"/>
      <c r="H26" s="224"/>
      <c r="K26" s="223"/>
      <c r="L26" s="223"/>
      <c r="N26" s="220"/>
    </row>
    <row r="27" spans="1:22" ht="15" thickBot="1" x14ac:dyDescent="0.25">
      <c r="A27" s="384" t="s">
        <v>163</v>
      </c>
      <c r="B27" s="384"/>
      <c r="C27" s="384"/>
      <c r="D27" s="228">
        <v>12055</v>
      </c>
      <c r="F27" s="228">
        <v>12055</v>
      </c>
      <c r="G27" s="227">
        <f>F27-D27</f>
        <v>0</v>
      </c>
      <c r="H27" s="224">
        <f>IF((D27&gt;F27),(D27-F27)/D27,IF(D27&lt;F27,-(D27-F27)/D27,IF(D27=F27,0)))</f>
        <v>0</v>
      </c>
      <c r="I27" s="219">
        <f>IF(D27-F27&lt;200,0,IF(D27-F27&gt;200,1,IF(D27-F27=200,1)))</f>
        <v>0</v>
      </c>
      <c r="J27" s="219">
        <f>IF(F27-D27&lt;200,0,IF(F27-D27&gt;200,1,IF(F27-D27=200,1)))</f>
        <v>0</v>
      </c>
      <c r="K27" s="223">
        <f>IF(H27&lt;0.15,0,IF(H27&gt;0.15,1,IF(H27=0.15,1)))</f>
        <v>0</v>
      </c>
      <c r="L27" s="223" t="str">
        <f>IF((H27&lt;15%)*AND(G27&lt;100000)*OR(G27&gt;-100000), "NO","YES")</f>
        <v>NO</v>
      </c>
      <c r="M27" s="226" t="str">
        <f>IF((L27="YES")*AND(I27+J27&lt;1),"Explanation not required, difference less than £200"," ")</f>
        <v xml:space="preserve"> </v>
      </c>
      <c r="N27" s="225"/>
    </row>
    <row r="28" spans="1:22" ht="15" thickBot="1" x14ac:dyDescent="0.25">
      <c r="D28" s="227"/>
      <c r="F28" s="227"/>
      <c r="G28" s="227"/>
      <c r="H28" s="224"/>
      <c r="K28" s="223"/>
      <c r="L28" s="223"/>
      <c r="N28" s="220"/>
    </row>
    <row r="29" spans="1:22" ht="15" thickBot="1" x14ac:dyDescent="0.25">
      <c r="A29" s="384" t="s">
        <v>162</v>
      </c>
      <c r="B29" s="384"/>
      <c r="C29" s="384"/>
      <c r="D29" s="228">
        <v>0</v>
      </c>
      <c r="F29" s="228">
        <v>0</v>
      </c>
      <c r="G29" s="227">
        <f>F29-D29</f>
        <v>0</v>
      </c>
      <c r="H29" s="224">
        <f>IF((D29&gt;F29),(D29-F29)/D29,IF(D29&lt;F29,-(D29-F29)/D29,IF(D29=F29,0)))</f>
        <v>0</v>
      </c>
      <c r="I29" s="219">
        <f>IF(D29-F29&lt;100,0,IF(D29-F29&gt;100,1,IF(D29-F29=100,1)))</f>
        <v>0</v>
      </c>
      <c r="J29" s="219">
        <f>IF(F29-D29&lt;100,0,IF(F29-D29&gt;100,1,IF(F29-D29=100,1)))</f>
        <v>0</v>
      </c>
      <c r="K29" s="223">
        <f>IF(H29&lt;0.15,0,IF(H29&gt;0.15,1,IF(H29=0.15,1)))</f>
        <v>0</v>
      </c>
      <c r="L29" s="223" t="str">
        <f>IF((H29&lt;15%)*AND(G29&lt;100000)*OR(G29&gt;-100000), "NO","YES")</f>
        <v>NO</v>
      </c>
      <c r="M29" s="226" t="str">
        <f>IF((L29="YES")*AND(I29+J29&lt;1),"Explanation not required, difference less than £200"," ")</f>
        <v xml:space="preserve"> </v>
      </c>
      <c r="N29" s="225"/>
    </row>
    <row r="30" spans="1:22" x14ac:dyDescent="0.2">
      <c r="H30" s="224"/>
      <c r="K30" s="223"/>
      <c r="L30" s="223"/>
      <c r="N30" s="220"/>
    </row>
    <row r="31" spans="1:22" ht="15" x14ac:dyDescent="0.25">
      <c r="C31" s="221" t="s">
        <v>161</v>
      </c>
    </row>
    <row r="32" spans="1:22" x14ac:dyDescent="0.2">
      <c r="O32" s="222"/>
      <c r="P32" s="222"/>
      <c r="Q32" s="222"/>
      <c r="R32" s="222"/>
      <c r="S32" s="222"/>
      <c r="T32" s="222"/>
      <c r="U32" s="222"/>
      <c r="V32" s="222"/>
    </row>
    <row r="33" spans="3:22" ht="15" x14ac:dyDescent="0.25">
      <c r="C33" s="221" t="s">
        <v>160</v>
      </c>
      <c r="N33" s="222"/>
      <c r="O33" s="222"/>
      <c r="P33" s="222"/>
      <c r="Q33" s="222"/>
      <c r="R33" s="222"/>
      <c r="S33" s="222"/>
      <c r="T33" s="222"/>
      <c r="U33" s="222"/>
      <c r="V33" s="222"/>
    </row>
    <row r="35" spans="3:22" ht="15" x14ac:dyDescent="0.25">
      <c r="C35" s="221" t="s">
        <v>159</v>
      </c>
    </row>
  </sheetData>
  <mergeCells count="11">
    <mergeCell ref="A1:K1"/>
    <mergeCell ref="A25:C25"/>
    <mergeCell ref="A27:C27"/>
    <mergeCell ref="A5:H5"/>
    <mergeCell ref="A29:C29"/>
    <mergeCell ref="A11:C11"/>
    <mergeCell ref="A13:C13"/>
    <mergeCell ref="A15:C15"/>
    <mergeCell ref="A17:C17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>
      <selection activeCell="C23" sqref="C23"/>
    </sheetView>
  </sheetViews>
  <sheetFormatPr defaultRowHeight="15" x14ac:dyDescent="0.25"/>
  <cols>
    <col min="1" max="1" width="3" bestFit="1" customWidth="1"/>
    <col min="2" max="2" width="22.5703125" customWidth="1"/>
    <col min="3" max="3" width="12.5703125" customWidth="1"/>
    <col min="4" max="4" width="13.42578125" customWidth="1"/>
  </cols>
  <sheetData>
    <row r="1" spans="1:4" x14ac:dyDescent="0.25">
      <c r="A1" s="390" t="s">
        <v>213</v>
      </c>
      <c r="B1" s="390"/>
      <c r="C1" s="390"/>
      <c r="D1" s="390"/>
    </row>
    <row r="2" spans="1:4" x14ac:dyDescent="0.25">
      <c r="A2" s="15"/>
      <c r="B2" s="16"/>
      <c r="C2" s="391" t="s">
        <v>28</v>
      </c>
      <c r="D2" s="391"/>
    </row>
    <row r="3" spans="1:4" x14ac:dyDescent="0.25">
      <c r="A3" s="15"/>
      <c r="B3" s="16"/>
      <c r="C3" s="17">
        <v>45382</v>
      </c>
      <c r="D3" s="17">
        <v>45747</v>
      </c>
    </row>
    <row r="4" spans="1:4" x14ac:dyDescent="0.25">
      <c r="A4" s="18"/>
      <c r="B4" s="19"/>
      <c r="C4" s="20" t="s">
        <v>29</v>
      </c>
      <c r="D4" s="21" t="s">
        <v>29</v>
      </c>
    </row>
    <row r="5" spans="1:4" x14ac:dyDescent="0.25">
      <c r="A5" s="15">
        <v>1</v>
      </c>
      <c r="B5" s="16" t="s">
        <v>30</v>
      </c>
      <c r="C5" s="148">
        <v>4878</v>
      </c>
      <c r="D5" s="148">
        <f>SUM('Bank Recon'!D25)</f>
        <v>5183.96</v>
      </c>
    </row>
    <row r="6" spans="1:4" x14ac:dyDescent="0.25">
      <c r="A6" s="15">
        <v>2</v>
      </c>
      <c r="B6" s="16" t="s">
        <v>31</v>
      </c>
      <c r="C6" s="148">
        <f>SUM(#REF!)</f>
        <v>5400</v>
      </c>
      <c r="D6" s="148" t="e">
        <f>SUM('Bank Account'!#REF!)</f>
        <v>#REF!</v>
      </c>
    </row>
    <row r="7" spans="1:4" x14ac:dyDescent="0.25">
      <c r="A7" s="15">
        <v>3</v>
      </c>
      <c r="B7" s="16" t="s">
        <v>32</v>
      </c>
      <c r="C7" s="148">
        <v>10909</v>
      </c>
      <c r="D7" s="148" t="e">
        <f>('Bank Account'!#REF!)+(Reserves!#REF!)</f>
        <v>#REF!</v>
      </c>
    </row>
    <row r="8" spans="1:4" x14ac:dyDescent="0.25">
      <c r="A8" s="15">
        <v>4</v>
      </c>
      <c r="B8" s="16" t="s">
        <v>33</v>
      </c>
      <c r="C8" s="148">
        <v>3391</v>
      </c>
      <c r="D8" s="148" t="e">
        <f>'Bank Account'!#REF!</f>
        <v>#REF!</v>
      </c>
    </row>
    <row r="9" spans="1:4" ht="26.25" x14ac:dyDescent="0.25">
      <c r="A9" s="15">
        <v>5</v>
      </c>
      <c r="B9" s="16" t="s">
        <v>34</v>
      </c>
      <c r="C9" s="148">
        <v>0</v>
      </c>
      <c r="D9" s="148">
        <v>0</v>
      </c>
    </row>
    <row r="10" spans="1:4" x14ac:dyDescent="0.25">
      <c r="A10" s="15">
        <v>6</v>
      </c>
      <c r="B10" s="16" t="s">
        <v>35</v>
      </c>
      <c r="C10" s="148">
        <v>12611</v>
      </c>
      <c r="D10" s="148" t="e">
        <f>('Bank Account'!#REF!)-('Bank Account'!G99)+('Bank Account'!I95)</f>
        <v>#REF!</v>
      </c>
    </row>
    <row r="11" spans="1:4" ht="26.25" x14ac:dyDescent="0.25">
      <c r="A11" s="15">
        <v>7</v>
      </c>
      <c r="B11" s="16" t="s">
        <v>36</v>
      </c>
      <c r="C11" s="148">
        <f>SUM('Bank Recon'!D25)</f>
        <v>5183.96</v>
      </c>
      <c r="D11" s="148" t="e">
        <f>D5+D6+D7-D8-D9-D10</f>
        <v>#REF!</v>
      </c>
    </row>
    <row r="12" spans="1:4" ht="26.25" x14ac:dyDescent="0.25">
      <c r="A12" s="15">
        <v>8</v>
      </c>
      <c r="B12" s="16" t="s">
        <v>37</v>
      </c>
      <c r="C12" s="148">
        <f>SUM('Bank Recon'!D25)</f>
        <v>5183.96</v>
      </c>
      <c r="D12" s="148">
        <f>SUM('Bank Recon'!D31)</f>
        <v>-3008.8999999999996</v>
      </c>
    </row>
    <row r="13" spans="1:4" ht="39" x14ac:dyDescent="0.25">
      <c r="A13" s="15">
        <v>9</v>
      </c>
      <c r="B13" s="16" t="s">
        <v>38</v>
      </c>
      <c r="C13" s="148">
        <v>12055</v>
      </c>
      <c r="D13" s="148">
        <v>12055</v>
      </c>
    </row>
    <row r="14" spans="1:4" x14ac:dyDescent="0.25">
      <c r="A14" s="15">
        <v>10</v>
      </c>
      <c r="B14" s="16" t="s">
        <v>39</v>
      </c>
      <c r="C14" s="148">
        <v>0</v>
      </c>
      <c r="D14" s="148">
        <v>0</v>
      </c>
    </row>
    <row r="15" spans="1:4" ht="15.75" thickBot="1" x14ac:dyDescent="0.3">
      <c r="A15" s="22"/>
      <c r="B15" s="23"/>
      <c r="C15" s="23"/>
      <c r="D15" s="23"/>
    </row>
    <row r="16" spans="1:4" x14ac:dyDescent="0.25">
      <c r="A16" s="24"/>
      <c r="B16" s="24"/>
      <c r="C16" s="25"/>
      <c r="D16" s="26"/>
    </row>
    <row r="17" spans="1:4" x14ac:dyDescent="0.25">
      <c r="A17" s="24"/>
      <c r="B17" s="24"/>
      <c r="C17" s="27"/>
      <c r="D17" s="24"/>
    </row>
  </sheetData>
  <mergeCells count="2">
    <mergeCell ref="A1:D1"/>
    <mergeCell ref="C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5FBB-D954-460D-B7DF-28A83C7A4390}">
  <dimension ref="A1:Q42"/>
  <sheetViews>
    <sheetView workbookViewId="0">
      <pane ySplit="1" topLeftCell="A12" activePane="bottomLeft" state="frozen"/>
      <selection activeCell="C23" sqref="C23"/>
      <selection pane="bottomLeft" activeCell="C23" sqref="C23"/>
    </sheetView>
  </sheetViews>
  <sheetFormatPr defaultRowHeight="15" x14ac:dyDescent="0.25"/>
  <cols>
    <col min="1" max="1" width="29.42578125" customWidth="1"/>
    <col min="2" max="2" width="15.85546875" customWidth="1"/>
    <col min="3" max="3" width="12.7109375" customWidth="1"/>
    <col min="4" max="4" width="13.85546875" customWidth="1"/>
    <col min="5" max="5" width="23.85546875" customWidth="1"/>
    <col min="6" max="6" width="12.5703125" customWidth="1"/>
    <col min="7" max="7" width="14" customWidth="1"/>
    <col min="8" max="8" width="13.5703125" customWidth="1"/>
    <col min="9" max="9" width="31" customWidth="1"/>
    <col min="10" max="10" width="14.28515625" customWidth="1"/>
    <col min="11" max="11" width="24.42578125" customWidth="1"/>
    <col min="12" max="12" width="14.140625" bestFit="1" customWidth="1"/>
    <col min="13" max="13" width="12.85546875" customWidth="1"/>
    <col min="14" max="14" width="13.85546875" customWidth="1"/>
    <col min="15" max="16" width="13.5703125" customWidth="1"/>
    <col min="17" max="17" width="12.5703125" customWidth="1"/>
  </cols>
  <sheetData>
    <row r="1" spans="1:17" ht="75" x14ac:dyDescent="0.25">
      <c r="A1" s="162"/>
      <c r="B1" s="163" t="s">
        <v>200</v>
      </c>
      <c r="C1" s="164" t="s">
        <v>201</v>
      </c>
      <c r="D1" s="165" t="s">
        <v>202</v>
      </c>
      <c r="E1" s="165" t="s">
        <v>204</v>
      </c>
      <c r="F1" s="165" t="s">
        <v>203</v>
      </c>
      <c r="G1" s="166" t="s">
        <v>130</v>
      </c>
      <c r="H1" s="167" t="s">
        <v>131</v>
      </c>
      <c r="I1" s="274" t="s">
        <v>132</v>
      </c>
      <c r="K1" s="162"/>
      <c r="L1" s="163" t="s">
        <v>200</v>
      </c>
      <c r="M1" s="164" t="s">
        <v>201</v>
      </c>
      <c r="N1" s="165" t="s">
        <v>202</v>
      </c>
      <c r="O1" s="165" t="s">
        <v>204</v>
      </c>
      <c r="P1" s="165" t="s">
        <v>203</v>
      </c>
      <c r="Q1" s="166" t="s">
        <v>130</v>
      </c>
    </row>
    <row r="2" spans="1:17" x14ac:dyDescent="0.25">
      <c r="A2" s="168" t="s">
        <v>133</v>
      </c>
      <c r="B2" s="169">
        <f>SUM(B3:B22)</f>
        <v>7459.25</v>
      </c>
      <c r="C2" s="169">
        <f t="shared" ref="C2:D2" si="0">SUM(C3:C21)</f>
        <v>6972.66</v>
      </c>
      <c r="D2" s="169" t="e">
        <f t="shared" si="0"/>
        <v>#REF!</v>
      </c>
      <c r="E2" s="169">
        <f>SUM(E3:E22)</f>
        <v>7685.05</v>
      </c>
      <c r="F2" s="169">
        <f>SUM(F3:F22)</f>
        <v>7332</v>
      </c>
      <c r="G2" s="169">
        <f>SUM(F2-C2)</f>
        <v>359.34000000000015</v>
      </c>
      <c r="H2" s="170"/>
      <c r="I2" s="275"/>
      <c r="K2" s="178" t="s">
        <v>134</v>
      </c>
      <c r="L2" s="179">
        <f>SUM(L3:L12)</f>
        <v>16308.53</v>
      </c>
      <c r="M2" s="179">
        <f>SUM(M3:M12)</f>
        <v>7275</v>
      </c>
      <c r="N2" s="179" t="e">
        <f>SUM(N3:N12)</f>
        <v>#REF!</v>
      </c>
      <c r="O2" s="179">
        <f>SUM(O3:O12)</f>
        <v>10918.93</v>
      </c>
      <c r="P2" s="179">
        <f>SUM(P3:P12)</f>
        <v>7585</v>
      </c>
      <c r="Q2" s="276">
        <f>SUM(P2-M2)</f>
        <v>310</v>
      </c>
    </row>
    <row r="3" spans="1:17" ht="150" x14ac:dyDescent="0.25">
      <c r="A3" s="277" t="s">
        <v>11</v>
      </c>
      <c r="B3" s="171">
        <f>'2024-25 Running'!A19</f>
        <v>2940.28</v>
      </c>
      <c r="C3" s="172">
        <f>'2024-25 Running'!E19</f>
        <v>3282</v>
      </c>
      <c r="D3" s="173" t="e">
        <f>SUM('Bank Account'!#REF!)</f>
        <v>#REF!</v>
      </c>
      <c r="E3" s="174">
        <v>3785</v>
      </c>
      <c r="F3" s="173">
        <v>4000</v>
      </c>
      <c r="G3" s="174">
        <f>SUM($F3-$C3)</f>
        <v>718</v>
      </c>
      <c r="H3" s="175"/>
      <c r="I3" s="350" t="s">
        <v>394</v>
      </c>
      <c r="K3" s="277" t="s">
        <v>5</v>
      </c>
      <c r="L3" s="180">
        <f>'2024-25 Running'!A6</f>
        <v>5400</v>
      </c>
      <c r="M3" s="278">
        <f>'2024-25 Running'!E6</f>
        <v>7000</v>
      </c>
      <c r="N3" s="278" t="e">
        <f>SUM('Bank Account'!#REF!)</f>
        <v>#REF!</v>
      </c>
      <c r="O3" s="278">
        <v>7000</v>
      </c>
      <c r="P3" s="278">
        <v>7350</v>
      </c>
      <c r="Q3" s="174">
        <f>P3-M3</f>
        <v>350</v>
      </c>
    </row>
    <row r="4" spans="1:17" x14ac:dyDescent="0.25">
      <c r="A4" s="277" t="s">
        <v>205</v>
      </c>
      <c r="B4" s="171">
        <f>'2024-25 Running'!A20</f>
        <v>338</v>
      </c>
      <c r="C4" s="172">
        <f>'2024-25 Running'!E20</f>
        <v>312</v>
      </c>
      <c r="D4" s="173" t="e">
        <f>SUM('Bank Account'!#REF!)</f>
        <v>#REF!</v>
      </c>
      <c r="E4" s="174">
        <v>312</v>
      </c>
      <c r="F4" s="173">
        <v>312</v>
      </c>
      <c r="G4" s="174">
        <f>SUM(F4-C4)</f>
        <v>0</v>
      </c>
      <c r="H4" s="175"/>
      <c r="I4" s="279"/>
      <c r="K4" s="277" t="s">
        <v>197</v>
      </c>
      <c r="L4" s="180">
        <f>'2024-25 Running'!A7</f>
        <v>0</v>
      </c>
      <c r="M4" s="278">
        <f>'2024-25 Running'!E7</f>
        <v>100</v>
      </c>
      <c r="N4" s="278" t="e">
        <f>'Bank Account'!#REF!</f>
        <v>#REF!</v>
      </c>
      <c r="O4" s="278">
        <v>200</v>
      </c>
      <c r="P4" s="278">
        <v>100</v>
      </c>
      <c r="Q4" s="174">
        <f>P4-M4</f>
        <v>0</v>
      </c>
    </row>
    <row r="5" spans="1:17" ht="30" x14ac:dyDescent="0.25">
      <c r="A5" s="277" t="s">
        <v>206</v>
      </c>
      <c r="B5" s="171">
        <f>'2024-25 Running'!A21</f>
        <v>112.93</v>
      </c>
      <c r="C5" s="172">
        <f>'2024-25 Running'!E21</f>
        <v>125</v>
      </c>
      <c r="D5" s="173" t="e">
        <f>SUM('Bank Account'!#REF!)</f>
        <v>#REF!</v>
      </c>
      <c r="E5" s="174">
        <v>60</v>
      </c>
      <c r="F5" s="173">
        <v>40</v>
      </c>
      <c r="G5" s="174">
        <f>(F5-C5)</f>
        <v>-85</v>
      </c>
      <c r="H5" s="175"/>
      <c r="I5" s="280"/>
      <c r="K5" s="277" t="s">
        <v>207</v>
      </c>
      <c r="L5" s="180">
        <f>'2024-25 Running'!A8</f>
        <v>0</v>
      </c>
      <c r="M5" s="278">
        <f>'2024-25 Running'!E8</f>
        <v>120</v>
      </c>
      <c r="N5" s="278" t="e">
        <f>SUM('Bank Account'!#REF!)</f>
        <v>#REF!</v>
      </c>
      <c r="O5" s="278">
        <v>217.93</v>
      </c>
      <c r="P5" s="278">
        <v>115</v>
      </c>
      <c r="Q5" s="174">
        <f>P5-M5</f>
        <v>-5</v>
      </c>
    </row>
    <row r="6" spans="1:17" x14ac:dyDescent="0.25">
      <c r="A6" s="277" t="s">
        <v>189</v>
      </c>
      <c r="B6" s="171">
        <f>'2024-25 Running'!A22</f>
        <v>92.06</v>
      </c>
      <c r="C6" s="172">
        <f>'2024-25 Running'!E22</f>
        <v>150</v>
      </c>
      <c r="D6" s="173" t="e">
        <f>SUM('Bank Account'!#REF!)</f>
        <v>#REF!</v>
      </c>
      <c r="E6" s="174">
        <v>60</v>
      </c>
      <c r="F6" s="173">
        <v>60</v>
      </c>
      <c r="G6" s="174">
        <f>(F6-C6)</f>
        <v>-90</v>
      </c>
      <c r="H6" s="175"/>
      <c r="I6" s="279"/>
      <c r="K6" s="277" t="s">
        <v>155</v>
      </c>
      <c r="L6" s="180">
        <f>'2024-25 Running'!A9</f>
        <v>500</v>
      </c>
      <c r="M6" s="278">
        <f>'2024-25 Running'!E9</f>
        <v>25</v>
      </c>
      <c r="N6" s="278" t="e">
        <f>SUM('Bank Account'!#REF!)</f>
        <v>#REF!</v>
      </c>
      <c r="O6" s="278">
        <v>3000</v>
      </c>
      <c r="P6" s="278">
        <v>0</v>
      </c>
      <c r="Q6" s="174">
        <f>P6-M6</f>
        <v>-25</v>
      </c>
    </row>
    <row r="7" spans="1:17" ht="15.75" customHeight="1" x14ac:dyDescent="0.25">
      <c r="A7" s="277" t="s">
        <v>76</v>
      </c>
      <c r="B7" s="171">
        <f>'2024-25 Running'!A23</f>
        <v>37.229999999999997</v>
      </c>
      <c r="C7" s="172">
        <f>'2024-25 Running'!E23</f>
        <v>46</v>
      </c>
      <c r="D7" s="173" t="e">
        <f>SUM('Bank Account'!#REF!)</f>
        <v>#REF!</v>
      </c>
      <c r="E7" s="174">
        <v>0</v>
      </c>
      <c r="F7" s="173">
        <v>0</v>
      </c>
      <c r="G7" s="174">
        <f>(F7-C7)</f>
        <v>-46</v>
      </c>
      <c r="H7" s="175"/>
      <c r="I7" s="279"/>
      <c r="K7" s="277" t="s">
        <v>199</v>
      </c>
      <c r="L7" s="180">
        <f>'2024-25 Running'!A10</f>
        <v>31.6</v>
      </c>
      <c r="M7" s="278">
        <f>'2024-25 Running'!E10</f>
        <v>30</v>
      </c>
      <c r="N7" s="278" t="e">
        <f>SUM('Bank Account'!#REF!)</f>
        <v>#REF!</v>
      </c>
      <c r="O7" s="278">
        <v>0</v>
      </c>
      <c r="P7" s="278">
        <v>0</v>
      </c>
      <c r="Q7" s="174">
        <f>P7-M7</f>
        <v>-30</v>
      </c>
    </row>
    <row r="8" spans="1:17" x14ac:dyDescent="0.25">
      <c r="A8" s="277" t="s">
        <v>52</v>
      </c>
      <c r="B8" s="171">
        <f>'2024-25 Running'!A24</f>
        <v>80</v>
      </c>
      <c r="C8" s="172">
        <f>'2024-25 Running'!E24</f>
        <v>75</v>
      </c>
      <c r="D8" s="173" t="e">
        <f>SUM('Bank Account'!#REF!)</f>
        <v>#REF!</v>
      </c>
      <c r="E8" s="174">
        <v>65</v>
      </c>
      <c r="F8" s="173">
        <v>75</v>
      </c>
      <c r="G8" s="174">
        <f>(F8-C8)</f>
        <v>0</v>
      </c>
      <c r="H8" s="175"/>
      <c r="I8" s="279"/>
      <c r="K8" s="277" t="s">
        <v>76</v>
      </c>
      <c r="L8" s="180">
        <f>'2024-25 Running'!A11</f>
        <v>48.4</v>
      </c>
      <c r="M8" s="278">
        <f>'2024-25 Running'!E11</f>
        <v>0</v>
      </c>
      <c r="N8" s="278" t="e">
        <f>SUM('Bank Account'!#REF!)</f>
        <v>#REF!</v>
      </c>
      <c r="O8" s="278">
        <v>0</v>
      </c>
      <c r="P8" s="278">
        <v>0</v>
      </c>
      <c r="Q8" s="174">
        <f t="shared" ref="Q8:Q12" si="1">P8-M8</f>
        <v>0</v>
      </c>
    </row>
    <row r="9" spans="1:17" x14ac:dyDescent="0.25">
      <c r="A9" s="277" t="s">
        <v>190</v>
      </c>
      <c r="B9" s="171">
        <f>'2024-25 Running'!A25</f>
        <v>190.33</v>
      </c>
      <c r="C9" s="172">
        <f>'2024-25 Running'!E25</f>
        <v>400</v>
      </c>
      <c r="D9" s="173" t="e">
        <f>SUM('Bank Account'!#REF!)</f>
        <v>#REF!</v>
      </c>
      <c r="E9" s="174">
        <v>400</v>
      </c>
      <c r="F9" s="173">
        <v>200</v>
      </c>
      <c r="G9" s="174">
        <f t="shared" ref="G9:G18" si="2">F9-C9</f>
        <v>-200</v>
      </c>
      <c r="H9" s="176"/>
      <c r="I9" s="281"/>
      <c r="K9" s="277" t="s">
        <v>116</v>
      </c>
      <c r="L9" s="180">
        <f>'2024-25 Running'!A12</f>
        <v>0</v>
      </c>
      <c r="M9" s="278">
        <f>'2024-25 Running'!E12</f>
        <v>0</v>
      </c>
      <c r="N9" s="278" t="e">
        <f>SUM('Bank Account'!#REF!)</f>
        <v>#REF!</v>
      </c>
      <c r="O9" s="278">
        <v>0</v>
      </c>
      <c r="P9" s="278">
        <v>0</v>
      </c>
      <c r="Q9" s="174">
        <f t="shared" si="1"/>
        <v>0</v>
      </c>
    </row>
    <row r="10" spans="1:17" ht="60" x14ac:dyDescent="0.25">
      <c r="A10" s="277" t="s">
        <v>12</v>
      </c>
      <c r="B10" s="171">
        <f>'2024-25 Running'!A26</f>
        <v>88.78</v>
      </c>
      <c r="C10" s="172">
        <f>'2024-25 Running'!E26</f>
        <v>400</v>
      </c>
      <c r="D10" s="173" t="e">
        <f>SUM('Bank Account'!#REF!)</f>
        <v>#REF!</v>
      </c>
      <c r="E10" s="174">
        <v>300</v>
      </c>
      <c r="F10" s="173">
        <v>350</v>
      </c>
      <c r="G10" s="174">
        <f t="shared" si="2"/>
        <v>-50</v>
      </c>
      <c r="H10" s="176"/>
      <c r="I10" s="277" t="s">
        <v>391</v>
      </c>
      <c r="K10" s="277" t="s">
        <v>72</v>
      </c>
      <c r="L10" s="180">
        <f>'2024-25 Running'!A13</f>
        <v>405.16</v>
      </c>
      <c r="M10" s="278">
        <f>'2024-25 Running'!E13</f>
        <v>0</v>
      </c>
      <c r="N10" s="278" t="e">
        <f>SUM('Bank Account'!#REF!)</f>
        <v>#REF!</v>
      </c>
      <c r="O10" s="278">
        <v>0</v>
      </c>
      <c r="P10" s="278">
        <v>0</v>
      </c>
      <c r="Q10" s="174">
        <f t="shared" si="1"/>
        <v>0</v>
      </c>
    </row>
    <row r="11" spans="1:17" x14ac:dyDescent="0.25">
      <c r="A11" s="277" t="s">
        <v>74</v>
      </c>
      <c r="B11" s="171">
        <f>'2024-25 Running'!A27</f>
        <v>136</v>
      </c>
      <c r="C11" s="172">
        <f>'2024-25 Running'!E27</f>
        <v>112</v>
      </c>
      <c r="D11" s="173" t="e">
        <f>SUM('Bank Account'!#REF!)</f>
        <v>#REF!</v>
      </c>
      <c r="E11" s="174">
        <v>112</v>
      </c>
      <c r="F11" s="173">
        <v>120</v>
      </c>
      <c r="G11" s="174">
        <f t="shared" si="2"/>
        <v>8</v>
      </c>
      <c r="H11" s="176"/>
      <c r="I11" s="279"/>
      <c r="K11" s="277" t="s">
        <v>196</v>
      </c>
      <c r="L11" s="180">
        <f>'2024-25 Running'!A15</f>
        <v>9923.3700000000008</v>
      </c>
      <c r="M11" s="278">
        <f>'2024-25 Running'!E15</f>
        <v>0</v>
      </c>
      <c r="N11" s="278" t="e">
        <f>SUM('Bank Account'!#REF!)</f>
        <v>#REF!</v>
      </c>
      <c r="O11" s="278">
        <v>281</v>
      </c>
      <c r="P11" s="278">
        <v>0</v>
      </c>
      <c r="Q11" s="174">
        <f t="shared" si="1"/>
        <v>0</v>
      </c>
    </row>
    <row r="12" spans="1:17" x14ac:dyDescent="0.25">
      <c r="A12" s="277" t="s">
        <v>191</v>
      </c>
      <c r="B12" s="171">
        <f>'2024-25 Running'!A28</f>
        <v>746.6</v>
      </c>
      <c r="C12" s="172">
        <f>'2024-25 Running'!E28</f>
        <v>916.66</v>
      </c>
      <c r="D12" s="173" t="e">
        <f>SUM('Bank Account'!#REF!)</f>
        <v>#REF!</v>
      </c>
      <c r="E12" s="174">
        <v>916.66</v>
      </c>
      <c r="F12" s="173">
        <v>940</v>
      </c>
      <c r="G12" s="174">
        <f t="shared" si="2"/>
        <v>23.340000000000032</v>
      </c>
      <c r="H12" s="176"/>
      <c r="I12" s="277" t="s">
        <v>341</v>
      </c>
      <c r="K12" s="277" t="s">
        <v>40</v>
      </c>
      <c r="L12" s="180">
        <f>'2024-25 Running'!A14</f>
        <v>0</v>
      </c>
      <c r="M12" s="278">
        <f>'2024-25 Running'!E14</f>
        <v>0</v>
      </c>
      <c r="N12" s="278" t="e">
        <f>SUM('Bank Account'!#REF!)</f>
        <v>#REF!</v>
      </c>
      <c r="O12" s="278">
        <v>220</v>
      </c>
      <c r="P12" s="278">
        <v>20</v>
      </c>
      <c r="Q12" s="174">
        <f t="shared" si="1"/>
        <v>20</v>
      </c>
    </row>
    <row r="13" spans="1:17" x14ac:dyDescent="0.25">
      <c r="A13" s="277" t="s">
        <v>13</v>
      </c>
      <c r="B13" s="171">
        <f>'2024-25 Running'!A29</f>
        <v>187.86</v>
      </c>
      <c r="C13" s="172">
        <f>'2024-25 Running'!E29</f>
        <v>200</v>
      </c>
      <c r="D13" s="173" t="e">
        <f>SUM('Bank Account'!#REF!)</f>
        <v>#REF!</v>
      </c>
      <c r="E13" s="174">
        <v>191.64</v>
      </c>
      <c r="F13" s="173">
        <v>225</v>
      </c>
      <c r="G13" s="174">
        <f>F13-C13</f>
        <v>25</v>
      </c>
      <c r="H13" s="176"/>
      <c r="I13" s="277"/>
    </row>
    <row r="14" spans="1:17" x14ac:dyDescent="0.25">
      <c r="A14" s="277" t="s">
        <v>192</v>
      </c>
      <c r="B14" s="171">
        <f>'2024-25 Running'!A30</f>
        <v>154</v>
      </c>
      <c r="C14" s="172">
        <f>'2024-25 Running'!E30</f>
        <v>154</v>
      </c>
      <c r="D14" s="173" t="e">
        <f>SUM('Bank Account'!#REF!)</f>
        <v>#REF!</v>
      </c>
      <c r="E14" s="282">
        <v>154</v>
      </c>
      <c r="F14" s="283">
        <v>160</v>
      </c>
      <c r="G14" s="174">
        <f t="shared" si="2"/>
        <v>6</v>
      </c>
      <c r="H14" s="176"/>
      <c r="I14" s="277"/>
    </row>
    <row r="15" spans="1:17" x14ac:dyDescent="0.25">
      <c r="A15" s="277" t="s">
        <v>193</v>
      </c>
      <c r="B15" s="171">
        <f>'2024-25 Running'!A31</f>
        <v>1062</v>
      </c>
      <c r="C15" s="172">
        <f>'2024-25 Running'!E31</f>
        <v>300</v>
      </c>
      <c r="D15" s="173" t="e">
        <f>SUM('Bank Account'!#REF!)</f>
        <v>#REF!</v>
      </c>
      <c r="E15" s="174">
        <v>800</v>
      </c>
      <c r="F15" s="174">
        <v>300</v>
      </c>
      <c r="G15" s="174">
        <f t="shared" si="2"/>
        <v>0</v>
      </c>
      <c r="H15" s="176"/>
      <c r="I15" s="281"/>
    </row>
    <row r="16" spans="1:17" x14ac:dyDescent="0.25">
      <c r="A16" s="277" t="s">
        <v>194</v>
      </c>
      <c r="B16" s="171">
        <f>'2024-25 Running'!A32</f>
        <v>0</v>
      </c>
      <c r="C16" s="172">
        <f>'2024-25 Running'!E32</f>
        <v>40</v>
      </c>
      <c r="D16" s="173" t="e">
        <f>SUM('Bank Account'!#REF!)</f>
        <v>#REF!</v>
      </c>
      <c r="E16" s="174">
        <v>20</v>
      </c>
      <c r="F16" s="173">
        <v>20</v>
      </c>
      <c r="G16" s="174">
        <f t="shared" si="2"/>
        <v>-20</v>
      </c>
      <c r="H16" s="176"/>
      <c r="I16" s="281"/>
    </row>
    <row r="17" spans="1:13" x14ac:dyDescent="0.25">
      <c r="A17" s="277" t="s">
        <v>43</v>
      </c>
      <c r="B17" s="171">
        <f>'2024-25 Running'!A33</f>
        <v>123.87</v>
      </c>
      <c r="C17" s="172">
        <f>'2024-25 Running'!E33</f>
        <v>130</v>
      </c>
      <c r="D17" s="173" t="e">
        <f>SUM('Bank Account'!#REF!)</f>
        <v>#REF!</v>
      </c>
      <c r="E17" s="174">
        <v>135</v>
      </c>
      <c r="F17" s="173">
        <v>150</v>
      </c>
      <c r="G17" s="174">
        <f t="shared" si="2"/>
        <v>20</v>
      </c>
      <c r="H17" s="176"/>
      <c r="I17" s="281"/>
    </row>
    <row r="18" spans="1:13" ht="30" x14ac:dyDescent="0.25">
      <c r="A18" s="277" t="s">
        <v>195</v>
      </c>
      <c r="B18" s="171">
        <f>'2024-25 Running'!A34</f>
        <v>99.17</v>
      </c>
      <c r="C18" s="172">
        <f>'2024-25 Running'!E34</f>
        <v>80</v>
      </c>
      <c r="D18" s="173" t="e">
        <f>SUM('Bank Account'!#REF!)</f>
        <v>#REF!</v>
      </c>
      <c r="E18" s="174">
        <v>80</v>
      </c>
      <c r="F18" s="173">
        <v>70</v>
      </c>
      <c r="G18" s="174">
        <f t="shared" si="2"/>
        <v>-10</v>
      </c>
      <c r="H18" s="176"/>
      <c r="I18" s="277" t="s">
        <v>392</v>
      </c>
    </row>
    <row r="19" spans="1:13" x14ac:dyDescent="0.25">
      <c r="A19" s="277" t="s">
        <v>3</v>
      </c>
      <c r="B19" s="171">
        <f>'2024-25 Running'!A35</f>
        <v>0</v>
      </c>
      <c r="C19" s="172">
        <f>'2024-25 Running'!E35</f>
        <v>150</v>
      </c>
      <c r="D19" s="173" t="e">
        <f>SUM('Bank Account'!#REF!)</f>
        <v>#REF!</v>
      </c>
      <c r="E19" s="174">
        <v>0</v>
      </c>
      <c r="F19" s="173">
        <v>0</v>
      </c>
      <c r="G19" s="174">
        <f>F19-C19</f>
        <v>-150</v>
      </c>
      <c r="H19" s="176"/>
      <c r="I19" s="281"/>
    </row>
    <row r="20" spans="1:13" x14ac:dyDescent="0.25">
      <c r="A20" s="277" t="s">
        <v>53</v>
      </c>
      <c r="B20" s="171">
        <f>'2024-25 Running'!A36</f>
        <v>0</v>
      </c>
      <c r="C20" s="172">
        <f>'2024-25 Running'!E36</f>
        <v>0</v>
      </c>
      <c r="D20" s="173" t="e">
        <f>SUM('Bank Account'!#REF!)</f>
        <v>#REF!</v>
      </c>
      <c r="E20" s="174">
        <v>0</v>
      </c>
      <c r="F20" s="173"/>
      <c r="G20" s="174">
        <f>F20-C20</f>
        <v>0</v>
      </c>
      <c r="H20" s="176"/>
      <c r="I20" s="281"/>
    </row>
    <row r="21" spans="1:13" x14ac:dyDescent="0.25">
      <c r="A21" s="277" t="s">
        <v>208</v>
      </c>
      <c r="B21" s="171">
        <f>'2024-25 Running'!A37</f>
        <v>1070.1400000000001</v>
      </c>
      <c r="C21" s="172">
        <f>'2024-25 Running'!E37</f>
        <v>100</v>
      </c>
      <c r="D21" s="173" t="e">
        <f>SUM('Bank Account'!#REF!)</f>
        <v>#REF!</v>
      </c>
      <c r="E21" s="174">
        <v>293.75</v>
      </c>
      <c r="F21" s="173">
        <v>100</v>
      </c>
      <c r="G21" s="174">
        <f t="shared" ref="G21:G22" si="3">F21-C21</f>
        <v>0</v>
      </c>
      <c r="H21" s="176"/>
      <c r="I21" s="281" t="s">
        <v>342</v>
      </c>
    </row>
    <row r="22" spans="1:13" x14ac:dyDescent="0.25">
      <c r="A22" s="277" t="s">
        <v>343</v>
      </c>
      <c r="B22" s="171">
        <v>0</v>
      </c>
      <c r="C22" s="172">
        <f>'2024-25 Running'!E38</f>
        <v>0</v>
      </c>
      <c r="D22" s="173">
        <v>0</v>
      </c>
      <c r="E22" s="173">
        <v>0</v>
      </c>
      <c r="F22" s="173">
        <v>210</v>
      </c>
      <c r="G22" s="174">
        <f t="shared" si="3"/>
        <v>210</v>
      </c>
      <c r="H22" s="1"/>
      <c r="I22" s="281" t="s">
        <v>393</v>
      </c>
    </row>
    <row r="23" spans="1:13" ht="15.75" thickBot="1" x14ac:dyDescent="0.3"/>
    <row r="24" spans="1:13" ht="45" x14ac:dyDescent="0.25">
      <c r="A24" s="182"/>
      <c r="B24" s="392" t="s">
        <v>135</v>
      </c>
      <c r="C24" s="183">
        <v>45748</v>
      </c>
      <c r="E24" s="184" t="s">
        <v>136</v>
      </c>
      <c r="F24" s="185" t="s">
        <v>209</v>
      </c>
      <c r="G24" s="185" t="s">
        <v>210</v>
      </c>
      <c r="H24" s="185" t="s">
        <v>211</v>
      </c>
      <c r="I24" s="394" t="s">
        <v>212</v>
      </c>
      <c r="J24" s="395"/>
      <c r="K24" s="395"/>
      <c r="L24" s="396"/>
      <c r="M24" s="185" t="s">
        <v>137</v>
      </c>
    </row>
    <row r="25" spans="1:13" x14ac:dyDescent="0.25">
      <c r="A25" s="186"/>
      <c r="B25" s="393"/>
      <c r="C25" s="187"/>
      <c r="E25" s="184"/>
      <c r="F25" s="184"/>
      <c r="G25" s="188"/>
      <c r="H25" s="188"/>
      <c r="I25" s="188"/>
      <c r="J25" s="188"/>
      <c r="K25" s="188"/>
      <c r="L25" s="188"/>
      <c r="M25" s="177"/>
    </row>
    <row r="26" spans="1:13" ht="15.75" thickBot="1" x14ac:dyDescent="0.3">
      <c r="A26" s="189" t="s">
        <v>138</v>
      </c>
      <c r="B26" s="190">
        <f>SUM(B28:B33)</f>
        <v>9619.39</v>
      </c>
      <c r="C26" s="191"/>
      <c r="E26" s="192" t="s">
        <v>139</v>
      </c>
      <c r="F26" s="193">
        <f>SUM(B2)</f>
        <v>7459.25</v>
      </c>
      <c r="G26" s="193" t="e">
        <f>SUM(D2)</f>
        <v>#REF!</v>
      </c>
      <c r="H26" s="193">
        <f>SUM(F2)</f>
        <v>7332</v>
      </c>
      <c r="I26" s="193"/>
      <c r="J26" s="193"/>
      <c r="K26" s="193"/>
      <c r="L26" s="193"/>
      <c r="M26" s="177"/>
    </row>
    <row r="27" spans="1:13" ht="30.75" thickTop="1" x14ac:dyDescent="0.25">
      <c r="A27" s="194" t="s">
        <v>140</v>
      </c>
      <c r="B27" s="195"/>
      <c r="C27" s="196"/>
      <c r="E27" s="197" t="s">
        <v>141</v>
      </c>
      <c r="F27" s="193">
        <f>SUM(L2-L3)</f>
        <v>10908.53</v>
      </c>
      <c r="G27" s="193">
        <f>SUM(M2-M3)</f>
        <v>275</v>
      </c>
      <c r="H27" s="193">
        <f>SUM(P2-P3)</f>
        <v>235</v>
      </c>
      <c r="I27" s="193"/>
      <c r="J27" s="193"/>
      <c r="K27" s="193"/>
      <c r="L27" s="193"/>
      <c r="M27" s="177"/>
    </row>
    <row r="28" spans="1:13" x14ac:dyDescent="0.25">
      <c r="A28" s="198" t="s">
        <v>196</v>
      </c>
      <c r="B28" s="199">
        <f>SUM('Bank Recon'!C11)</f>
        <v>6919.39</v>
      </c>
      <c r="C28" s="284"/>
      <c r="E28" s="192" t="s">
        <v>142</v>
      </c>
      <c r="F28" s="193">
        <v>0</v>
      </c>
      <c r="G28" s="193">
        <v>0</v>
      </c>
      <c r="H28" s="193">
        <v>0</v>
      </c>
      <c r="I28" s="193"/>
      <c r="J28" s="193"/>
      <c r="K28" s="193"/>
      <c r="L28" s="193"/>
      <c r="M28" s="177"/>
    </row>
    <row r="29" spans="1:13" x14ac:dyDescent="0.25">
      <c r="A29" s="198"/>
      <c r="B29" s="200"/>
      <c r="C29" s="284"/>
      <c r="E29" s="181"/>
      <c r="F29" s="201"/>
      <c r="G29" s="202"/>
      <c r="H29" s="202"/>
      <c r="I29" s="202"/>
      <c r="J29" s="202"/>
      <c r="K29" s="202"/>
      <c r="L29" s="202"/>
      <c r="M29" s="177"/>
    </row>
    <row r="30" spans="1:13" x14ac:dyDescent="0.25">
      <c r="A30" s="198"/>
      <c r="B30" s="200"/>
      <c r="C30" s="284"/>
      <c r="E30" s="203" t="s">
        <v>143</v>
      </c>
      <c r="F30" s="204">
        <f>SUM(#REF!)</f>
        <v>5400</v>
      </c>
      <c r="G30" s="204">
        <f>SUM(#REF!)</f>
        <v>7000</v>
      </c>
      <c r="H30" s="204">
        <v>7350</v>
      </c>
      <c r="I30" s="204">
        <f>H$30+1000</f>
        <v>8350</v>
      </c>
      <c r="J30" s="204">
        <f t="shared" ref="J30:L30" si="4">I$30+1000</f>
        <v>9350</v>
      </c>
      <c r="K30" s="204">
        <f t="shared" si="4"/>
        <v>10350</v>
      </c>
      <c r="L30" s="204">
        <f t="shared" si="4"/>
        <v>11350</v>
      </c>
      <c r="M30" s="177"/>
    </row>
    <row r="31" spans="1:13" x14ac:dyDescent="0.25">
      <c r="A31" s="198"/>
      <c r="B31" s="200"/>
      <c r="C31" s="284"/>
      <c r="E31" s="181"/>
      <c r="F31" s="201"/>
      <c r="G31" s="202"/>
      <c r="H31" s="202"/>
      <c r="I31" s="202"/>
      <c r="J31" s="202"/>
      <c r="K31" s="202"/>
      <c r="L31" s="202"/>
      <c r="M31" s="177"/>
    </row>
    <row r="32" spans="1:13" x14ac:dyDescent="0.25">
      <c r="A32" s="285"/>
      <c r="B32" s="205"/>
      <c r="C32" s="284"/>
      <c r="E32" s="206" t="s">
        <v>144</v>
      </c>
      <c r="F32" s="207"/>
      <c r="G32" s="204">
        <f>SUM(G$30-F$30)</f>
        <v>1600</v>
      </c>
      <c r="H32" s="204">
        <f>SUM(H$30-G$30)</f>
        <v>350</v>
      </c>
      <c r="I32" s="204">
        <f>SUM(I30-$G$30)</f>
        <v>1350</v>
      </c>
      <c r="J32" s="204">
        <f t="shared" ref="J32:L32" si="5">SUM(J30-$G$30)</f>
        <v>2350</v>
      </c>
      <c r="K32" s="204">
        <f t="shared" si="5"/>
        <v>3350</v>
      </c>
      <c r="L32" s="204">
        <f t="shared" si="5"/>
        <v>4350</v>
      </c>
      <c r="M32" s="177"/>
    </row>
    <row r="33" spans="1:13" x14ac:dyDescent="0.25">
      <c r="A33" s="194" t="s">
        <v>145</v>
      </c>
      <c r="B33" s="200">
        <v>2700</v>
      </c>
      <c r="C33" s="286"/>
      <c r="E33" s="206" t="s">
        <v>146</v>
      </c>
      <c r="F33" s="207"/>
      <c r="G33" s="208">
        <f>G$32/F$30</f>
        <v>0.29629629629629628</v>
      </c>
      <c r="H33" s="208">
        <f>H$32/G$30</f>
        <v>0.05</v>
      </c>
      <c r="I33" s="287">
        <f>I32/$G$30</f>
        <v>0.19285714285714287</v>
      </c>
      <c r="J33" s="287">
        <f t="shared" ref="J33:L33" si="6">J32/$G$30</f>
        <v>0.33571428571428569</v>
      </c>
      <c r="K33" s="287">
        <f t="shared" si="6"/>
        <v>0.47857142857142859</v>
      </c>
      <c r="L33" s="287">
        <f t="shared" si="6"/>
        <v>0.62142857142857144</v>
      </c>
      <c r="M33" s="177"/>
    </row>
    <row r="34" spans="1:13" x14ac:dyDescent="0.25">
      <c r="A34" s="285"/>
      <c r="B34" s="209"/>
      <c r="C34" s="284"/>
      <c r="E34" s="181"/>
      <c r="F34" s="201"/>
      <c r="G34" s="288"/>
      <c r="H34" s="288"/>
      <c r="I34" s="288"/>
      <c r="J34" s="288"/>
      <c r="K34" s="288"/>
      <c r="L34" s="288"/>
      <c r="M34" s="177"/>
    </row>
    <row r="35" spans="1:13" x14ac:dyDescent="0.25">
      <c r="A35" s="351"/>
      <c r="B35" s="209"/>
      <c r="C35" s="284"/>
      <c r="E35" s="210"/>
      <c r="F35" s="211"/>
      <c r="G35" s="289"/>
      <c r="H35" s="289"/>
      <c r="I35" s="289"/>
      <c r="J35" s="289"/>
      <c r="K35" s="289"/>
      <c r="L35" s="289"/>
      <c r="M35" s="177"/>
    </row>
    <row r="36" spans="1:13" x14ac:dyDescent="0.25">
      <c r="A36" s="285"/>
      <c r="B36" s="209"/>
      <c r="C36" s="284"/>
      <c r="E36" s="192" t="s">
        <v>147</v>
      </c>
      <c r="F36" s="212"/>
      <c r="G36" s="289"/>
      <c r="H36" s="289"/>
      <c r="I36" s="289"/>
      <c r="J36" s="289"/>
      <c r="K36" s="289"/>
      <c r="L36" s="289"/>
      <c r="M36" s="177"/>
    </row>
    <row r="37" spans="1:13" ht="15.75" thickBot="1" x14ac:dyDescent="0.3">
      <c r="A37" s="290"/>
      <c r="B37" s="213"/>
      <c r="C37" s="291"/>
      <c r="E37" s="210"/>
      <c r="F37" s="211"/>
      <c r="G37" s="289"/>
      <c r="H37" s="289"/>
      <c r="I37" s="289"/>
      <c r="J37" s="289"/>
      <c r="K37" s="289"/>
      <c r="L37" s="289"/>
      <c r="M37" s="177"/>
    </row>
    <row r="38" spans="1:13" x14ac:dyDescent="0.25">
      <c r="E38" s="206" t="s">
        <v>148</v>
      </c>
      <c r="F38" s="292">
        <v>99</v>
      </c>
      <c r="G38" s="292">
        <v>102</v>
      </c>
      <c r="H38" s="292">
        <v>100</v>
      </c>
      <c r="I38" s="292">
        <f>SUM(H38)</f>
        <v>100</v>
      </c>
      <c r="J38" s="292">
        <f t="shared" ref="J38:L38" si="7">SUM(I38)</f>
        <v>100</v>
      </c>
      <c r="K38" s="292">
        <f t="shared" si="7"/>
        <v>100</v>
      </c>
      <c r="L38" s="292">
        <f t="shared" si="7"/>
        <v>100</v>
      </c>
      <c r="M38" s="177"/>
    </row>
    <row r="39" spans="1:13" x14ac:dyDescent="0.25">
      <c r="E39" s="206" t="s">
        <v>149</v>
      </c>
      <c r="F39" s="204">
        <f>F30/F38</f>
        <v>54.545454545454547</v>
      </c>
      <c r="G39" s="204">
        <f>G30/G38</f>
        <v>68.627450980392155</v>
      </c>
      <c r="H39" s="204">
        <f>H30/H38</f>
        <v>73.5</v>
      </c>
      <c r="I39" s="204">
        <f>I30/I38</f>
        <v>83.5</v>
      </c>
      <c r="J39" s="204">
        <f t="shared" ref="J39:L39" si="8">J30/J38</f>
        <v>93.5</v>
      </c>
      <c r="K39" s="204">
        <f t="shared" si="8"/>
        <v>103.5</v>
      </c>
      <c r="L39" s="204">
        <f t="shared" si="8"/>
        <v>113.5</v>
      </c>
      <c r="M39" s="177"/>
    </row>
    <row r="40" spans="1:13" x14ac:dyDescent="0.25">
      <c r="E40" s="203" t="s">
        <v>150</v>
      </c>
      <c r="F40" s="214"/>
      <c r="G40" s="287">
        <f>(G$39-F$39)/F$39</f>
        <v>0.25816993464052279</v>
      </c>
      <c r="H40" s="287">
        <f>(H$39-G$39)/G$39</f>
        <v>7.1000000000000035E-2</v>
      </c>
      <c r="I40" s="287">
        <f>(I$39-$G$39)/$G$39</f>
        <v>0.21671428571428575</v>
      </c>
      <c r="J40" s="287">
        <f t="shared" ref="J40:L40" si="9">(J$39-$G$39)/$G$39</f>
        <v>0.36242857142857149</v>
      </c>
      <c r="K40" s="287">
        <f t="shared" si="9"/>
        <v>0.50814285714285723</v>
      </c>
      <c r="L40" s="287">
        <f t="shared" si="9"/>
        <v>0.65385714285714291</v>
      </c>
      <c r="M40" s="177"/>
    </row>
    <row r="41" spans="1:13" ht="30" x14ac:dyDescent="0.25">
      <c r="G41" s="349" t="s">
        <v>345</v>
      </c>
      <c r="H41" s="148">
        <f>SUM(H39-$G$39)</f>
        <v>4.8725490196078454</v>
      </c>
      <c r="I41" s="148">
        <f>SUM(I39-$G$39)</f>
        <v>14.872549019607845</v>
      </c>
      <c r="J41" s="148">
        <f t="shared" ref="J41:L41" si="10">SUM(J39-$G$39)</f>
        <v>24.872549019607845</v>
      </c>
      <c r="K41" s="148">
        <f t="shared" si="10"/>
        <v>34.872549019607845</v>
      </c>
      <c r="L41" s="148">
        <f t="shared" si="10"/>
        <v>44.872549019607845</v>
      </c>
    </row>
    <row r="42" spans="1:13" x14ac:dyDescent="0.25">
      <c r="G42" t="s">
        <v>344</v>
      </c>
      <c r="H42" s="148">
        <f>SUM(H41/12)</f>
        <v>0.4060457516339871</v>
      </c>
      <c r="I42" s="148">
        <f t="shared" ref="I42:L42" si="11">SUM(I41/12)</f>
        <v>1.2393790849673205</v>
      </c>
      <c r="J42" s="148">
        <f t="shared" si="11"/>
        <v>2.0727124183006538</v>
      </c>
      <c r="K42" s="148">
        <f t="shared" si="11"/>
        <v>2.9060457516339873</v>
      </c>
      <c r="L42" s="148">
        <f t="shared" si="11"/>
        <v>3.7393790849673203</v>
      </c>
    </row>
  </sheetData>
  <mergeCells count="2">
    <mergeCell ref="B24:B25"/>
    <mergeCell ref="I24:L24"/>
  </mergeCells>
  <conditionalFormatting sqref="G3:G22">
    <cfRule type="cellIs" dxfId="7" priority="5" operator="between">
      <formula>0</formula>
      <formula>100</formula>
    </cfRule>
    <cfRule type="cellIs" dxfId="6" priority="6" operator="lessThan">
      <formula>0</formula>
    </cfRule>
    <cfRule type="cellIs" dxfId="5" priority="7" operator="greaterThan">
      <formula>100</formula>
    </cfRule>
  </conditionalFormatting>
  <conditionalFormatting sqref="Q3:Q12">
    <cfRule type="cellIs" dxfId="4" priority="1" operator="between">
      <formula>0</formula>
      <formula>100</formula>
    </cfRule>
    <cfRule type="cellIs" dxfId="3" priority="2" operator="lessThan">
      <formula>0</formula>
    </cfRule>
    <cfRule type="cellIs" dxfId="2" priority="3" operator="greaterThan">
      <formula>100</formula>
    </cfRule>
  </conditionalFormatting>
  <conditionalFormatting sqref="Q8:Q12">
    <cfRule type="cellIs" dxfId="1" priority="4" operator="between">
      <formula>0</formula>
      <formula>99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2024-25 Running</vt:lpstr>
      <vt:lpstr>Ear Marked Funds</vt:lpstr>
      <vt:lpstr>Bank Account</vt:lpstr>
      <vt:lpstr>Reserves</vt:lpstr>
      <vt:lpstr>Bank Recon</vt:lpstr>
      <vt:lpstr>Year to Date</vt:lpstr>
      <vt:lpstr>Variances</vt:lpstr>
      <vt:lpstr>Annual Return</vt:lpstr>
      <vt:lpstr>Budget 2025-26</vt:lpstr>
      <vt:lpstr>'Bank Account'!Print_Area</vt:lpstr>
      <vt:lpstr>'Bank Recon'!Print_Area</vt:lpstr>
      <vt:lpstr>Reserves!Print_Area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 Petersen</dc:creator>
  <cp:lastModifiedBy>Charlotte Rust Claxton Parish Council</cp:lastModifiedBy>
  <cp:revision/>
  <cp:lastPrinted>2022-04-02T11:33:48Z</cp:lastPrinted>
  <dcterms:created xsi:type="dcterms:W3CDTF">2012-08-13T19:33:46Z</dcterms:created>
  <dcterms:modified xsi:type="dcterms:W3CDTF">2025-06-24T13:13:16Z</dcterms:modified>
</cp:coreProperties>
</file>